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Resultatoversigt" sheetId="1" r:id="rId1"/>
    <sheet name="Mark" sheetId="2" r:id="rId2"/>
    <sheet name="Gødning" sheetId="3" r:id="rId3"/>
    <sheet name="Biogasgødning" sheetId="4" r:id="rId4"/>
    <sheet name="Forudsætninger" sheetId="5" r:id="rId5"/>
    <sheet name="Investeringer" sheetId="6" r:id="rId6"/>
    <sheet name="Ark1" sheetId="7" r:id="rId7"/>
  </sheets>
  <definedNames>
    <definedName name="_xlnm.Print_Area" localSheetId="1">'Mark'!$A$1:$U$45</definedName>
  </definedNames>
  <calcPr fullCalcOnLoad="1"/>
</workbook>
</file>

<file path=xl/comments1.xml><?xml version="1.0" encoding="utf-8"?>
<comments xmlns="http://schemas.openxmlformats.org/spreadsheetml/2006/main">
  <authors>
    <author>niels</author>
  </authors>
  <commentList>
    <comment ref="G12" authorId="0">
      <text>
        <r>
          <rPr>
            <b/>
            <sz val="8"/>
            <rFont val="Tahoma"/>
            <family val="0"/>
          </rPr>
          <t>Biogødning og husdyrgødning</t>
        </r>
      </text>
    </comment>
    <comment ref="H5" authorId="0">
      <text>
        <r>
          <rPr>
            <b/>
            <sz val="8"/>
            <rFont val="Tahoma"/>
            <family val="0"/>
          </rPr>
          <t>salg pr hektar fordelt på alle bedriftens arealer</t>
        </r>
      </text>
    </comment>
    <comment ref="H6" authorId="0">
      <text>
        <r>
          <rPr>
            <b/>
            <sz val="8"/>
            <rFont val="Tahoma"/>
            <family val="0"/>
          </rPr>
          <t>Salg pr hektar fordelt på alle bedriftens arealer</t>
        </r>
      </text>
    </comment>
  </commentList>
</comments>
</file>

<file path=xl/comments2.xml><?xml version="1.0" encoding="utf-8"?>
<comments xmlns="http://schemas.openxmlformats.org/spreadsheetml/2006/main">
  <authors>
    <author>niels</author>
    <author>Michael Tersb?l</author>
  </authors>
  <commentList>
    <comment ref="H9" authorId="0">
      <text>
        <r>
          <rPr>
            <b/>
            <sz val="8"/>
            <rFont val="Tahoma"/>
            <family val="0"/>
          </rPr>
          <t>Hvis kløvergræs er flerårig i sædskiftet skal en del af eftervirkningen placeres her</t>
        </r>
      </text>
    </comment>
    <comment ref="H30" authorId="0">
      <text>
        <r>
          <rPr>
            <b/>
            <sz val="8"/>
            <rFont val="Tahoma"/>
            <family val="0"/>
          </rPr>
          <t>Hvis kløvergræs er flerårig i sædskiftet skal en del af eftervirkningen placeres her</t>
        </r>
      </text>
    </comment>
    <comment ref="A31" authorId="0">
      <text>
        <r>
          <rPr>
            <b/>
            <sz val="8"/>
            <rFont val="Tahoma"/>
            <family val="0"/>
          </rPr>
          <t>Bio kløvergræs leveres til biogasanlæg</t>
        </r>
      </text>
    </comment>
    <comment ref="A33" authorId="0">
      <text>
        <r>
          <rPr>
            <b/>
            <sz val="8"/>
            <rFont val="Tahoma"/>
            <family val="0"/>
          </rPr>
          <t>Biogræs leveres til biogasanlæg</t>
        </r>
      </text>
    </comment>
    <comment ref="H31" authorId="0">
      <text>
        <r>
          <rPr>
            <b/>
            <sz val="8"/>
            <rFont val="Tahoma"/>
            <family val="0"/>
          </rPr>
          <t>Hvis kløvergræs er flerårig i sædskiftet skal en del af eftervirkningen placeres her</t>
        </r>
      </text>
    </comment>
    <comment ref="P6" authorId="0">
      <text>
        <r>
          <rPr>
            <b/>
            <sz val="8"/>
            <rFont val="Tahoma"/>
            <family val="0"/>
          </rPr>
          <t>Effektivt N</t>
        </r>
      </text>
    </comment>
    <comment ref="P27" authorId="0">
      <text>
        <r>
          <rPr>
            <b/>
            <sz val="8"/>
            <rFont val="Tahoma"/>
            <family val="0"/>
          </rPr>
          <t>Effektivt N</t>
        </r>
      </text>
    </comment>
    <comment ref="D4" authorId="0">
      <text>
        <r>
          <rPr>
            <b/>
            <sz val="8"/>
            <rFont val="Tahoma"/>
            <family val="0"/>
          </rPr>
          <t>Effektivt kvælstof</t>
        </r>
      </text>
    </comment>
    <comment ref="D25" authorId="0">
      <text>
        <r>
          <rPr>
            <b/>
            <sz val="8"/>
            <rFont val="Tahoma"/>
            <family val="0"/>
          </rPr>
          <t>Effektivt kvælstof</t>
        </r>
      </text>
    </comment>
    <comment ref="A12" authorId="0">
      <text>
        <r>
          <rPr>
            <b/>
            <sz val="8"/>
            <rFont val="Tahoma"/>
            <family val="0"/>
          </rPr>
          <t>Valg af ekstra afgrøde indtastes i arket "Forudsætninger"</t>
        </r>
      </text>
    </comment>
    <comment ref="A35" authorId="0">
      <text>
        <r>
          <rPr>
            <b/>
            <sz val="8"/>
            <rFont val="Tahoma"/>
            <family val="0"/>
          </rPr>
          <t>Valg af ekstra afgrøde indtastes i arket "Forudsætninger"</t>
        </r>
      </text>
    </comment>
    <comment ref="A41" authorId="0">
      <text>
        <r>
          <rPr>
            <b/>
            <sz val="8"/>
            <rFont val="Tahoma"/>
            <family val="0"/>
          </rPr>
          <t>Bioafgrøde leveres til biogasanlæg</t>
        </r>
      </text>
    </comment>
    <comment ref="H7" authorId="1">
      <text>
        <r>
          <rPr>
            <b/>
            <sz val="9"/>
            <rFont val="Tahoma"/>
            <family val="2"/>
          </rPr>
          <t>Hvis frøgræsset er flerårigt skal noget af eftervirkningen placeres her.</t>
        </r>
      </text>
    </comment>
    <comment ref="H28" authorId="1">
      <text>
        <r>
          <rPr>
            <b/>
            <sz val="9"/>
            <rFont val="Tahoma"/>
            <family val="2"/>
          </rPr>
          <t>Hvis frøgræsset er flerårigt skal noget af eftervirkningen placeres her.</t>
        </r>
      </text>
    </comment>
  </commentList>
</comments>
</file>

<file path=xl/comments3.xml><?xml version="1.0" encoding="utf-8"?>
<comments xmlns="http://schemas.openxmlformats.org/spreadsheetml/2006/main">
  <authors>
    <author>niels</author>
  </authors>
  <commentList>
    <comment ref="A9" authorId="0">
      <text>
        <r>
          <rPr>
            <b/>
            <sz val="8"/>
            <rFont val="Tahoma"/>
            <family val="0"/>
          </rPr>
          <t>Ekskl. afsætning ved afgræsning</t>
        </r>
      </text>
    </comment>
    <comment ref="A6" authorId="0">
      <text>
        <r>
          <rPr>
            <b/>
            <sz val="8"/>
            <rFont val="Tahoma"/>
            <family val="0"/>
          </rPr>
          <t>Eskl. Afsætning ved afgræsning</t>
        </r>
      </text>
    </comment>
    <comment ref="A19" authorId="0">
      <text>
        <r>
          <rPr>
            <b/>
            <sz val="8"/>
            <rFont val="Tahoma"/>
            <family val="0"/>
          </rPr>
          <t>Eskl. Afsætning ved afgræsning</t>
        </r>
      </text>
    </comment>
    <comment ref="A24" authorId="0">
      <text>
        <r>
          <rPr>
            <b/>
            <sz val="8"/>
            <rFont val="Tahoma"/>
            <family val="0"/>
          </rPr>
          <t>Ekskl. afsætning ved afgræsning</t>
        </r>
      </text>
    </comment>
    <comment ref="L16" authorId="0">
      <text>
        <r>
          <rPr>
            <b/>
            <sz val="8"/>
            <rFont val="Tahoma"/>
            <family val="0"/>
          </rPr>
          <t>Ekskl. transport og udbringelse</t>
        </r>
      </text>
    </comment>
    <comment ref="B5" authorId="0">
      <text>
        <r>
          <rPr>
            <b/>
            <sz val="8"/>
            <rFont val="Tahoma"/>
            <family val="0"/>
          </rPr>
          <t>Ved salg anvendes minus som fortegn!</t>
        </r>
      </text>
    </comment>
    <comment ref="G17" authorId="0">
      <text>
        <r>
          <rPr>
            <b/>
            <sz val="8"/>
            <rFont val="Tahoma"/>
            <family val="0"/>
          </rPr>
          <t>Før salg til biogasanlæg</t>
        </r>
      </text>
    </comment>
    <comment ref="J17" authorId="0">
      <text>
        <r>
          <rPr>
            <b/>
            <sz val="8"/>
            <rFont val="Tahoma"/>
            <family val="0"/>
          </rPr>
          <t>Efter salg til biogasanlæg</t>
        </r>
      </text>
    </comment>
    <comment ref="B31" authorId="0">
      <text>
        <r>
          <rPr>
            <b/>
            <sz val="8"/>
            <rFont val="Tahoma"/>
            <family val="0"/>
          </rPr>
          <t>Antal tons netto til udbringning på bedriften</t>
        </r>
      </text>
    </comment>
    <comment ref="N31" authorId="0">
      <text>
        <r>
          <rPr>
            <b/>
            <sz val="8"/>
            <rFont val="Tahoma"/>
            <family val="0"/>
          </rPr>
          <t>Pris for udbringelse af husdyrgødning og biogylle i alt</t>
        </r>
      </text>
    </comment>
    <comment ref="L3" authorId="0">
      <text>
        <r>
          <rPr>
            <b/>
            <sz val="8"/>
            <rFont val="Tahoma"/>
            <family val="0"/>
          </rPr>
          <t>Ekskl. transport og udbringelse</t>
        </r>
      </text>
    </comment>
  </commentList>
</comments>
</file>

<file path=xl/comments4.xml><?xml version="1.0" encoding="utf-8"?>
<comments xmlns="http://schemas.openxmlformats.org/spreadsheetml/2006/main">
  <authors>
    <author>niels</author>
    <author>Michael Tersb?l</author>
  </authors>
  <commentList>
    <comment ref="M4" authorId="0">
      <text>
        <r>
          <rPr>
            <b/>
            <sz val="8"/>
            <rFont val="Tahoma"/>
            <family val="0"/>
          </rPr>
          <t>Inkl. pålæsning og aflæsning</t>
        </r>
      </text>
    </comment>
    <comment ref="K4" authorId="0">
      <text>
        <r>
          <rPr>
            <b/>
            <sz val="8"/>
            <rFont val="Tahoma"/>
            <family val="0"/>
          </rPr>
          <t>Inkl. læsser</t>
        </r>
      </text>
    </comment>
    <comment ref="I20" authorId="0">
      <text>
        <r>
          <rPr>
            <b/>
            <sz val="8"/>
            <rFont val="Tahoma"/>
            <family val="0"/>
          </rPr>
          <t>Indtast hvor mange kg N som importeres fra biogasanlæg</t>
        </r>
      </text>
    </comment>
    <comment ref="G20" authorId="1">
      <text>
        <r>
          <rPr>
            <sz val="9"/>
            <rFont val="Tahoma"/>
            <family val="2"/>
          </rPr>
          <t>Vær obs på at indholdet er realistisk i forhold til biogasanlæggets biomasse.</t>
        </r>
      </text>
    </comment>
  </commentList>
</comments>
</file>

<file path=xl/comments5.xml><?xml version="1.0" encoding="utf-8"?>
<comments xmlns="http://schemas.openxmlformats.org/spreadsheetml/2006/main">
  <authors>
    <author>niels</author>
  </authors>
  <commentList>
    <comment ref="P5" authorId="0">
      <text>
        <r>
          <rPr>
            <sz val="8"/>
            <rFont val="Tahoma"/>
            <family val="0"/>
          </rPr>
          <t>Ekskl. udbringelse af husdyrgødning</t>
        </r>
      </text>
    </comment>
    <comment ref="H5" authorId="0">
      <text>
        <r>
          <rPr>
            <b/>
            <sz val="8"/>
            <rFont val="Tahoma"/>
            <family val="0"/>
          </rPr>
          <t>Udbytte uden forfrugt og tildeling af husdyrgødning</t>
        </r>
      </text>
    </comment>
    <comment ref="B9" authorId="0">
      <text>
        <r>
          <rPr>
            <b/>
            <sz val="8"/>
            <rFont val="Tahoma"/>
            <family val="0"/>
          </rPr>
          <t>Pris på rod</t>
        </r>
      </text>
    </comment>
    <comment ref="B10" authorId="0">
      <text>
        <r>
          <rPr>
            <b/>
            <sz val="8"/>
            <rFont val="Tahoma"/>
            <family val="0"/>
          </rPr>
          <t>Pris på rod</t>
        </r>
      </text>
    </comment>
    <comment ref="D6" authorId="0">
      <text>
        <r>
          <rPr>
            <b/>
            <sz val="8"/>
            <rFont val="Tahoma"/>
            <family val="0"/>
          </rPr>
          <t xml:space="preserve">Udbytterespons pr kg effektivt N
Sandjord
</t>
        </r>
        <r>
          <rPr>
            <sz val="8"/>
            <rFont val="Tahoma"/>
            <family val="2"/>
          </rPr>
          <t xml:space="preserve">Frøgræs         5,0 kg
Korn              24,0 kg
Kløvergræs   8,0 Fe
Græs             10,0 Fe
Bælgsæd        0,0 kg
</t>
        </r>
        <r>
          <rPr>
            <b/>
            <sz val="8"/>
            <rFont val="Tahoma"/>
            <family val="2"/>
          </rPr>
          <t xml:space="preserve">Lerjord
</t>
        </r>
        <r>
          <rPr>
            <sz val="8"/>
            <rFont val="Tahoma"/>
            <family val="2"/>
          </rPr>
          <t xml:space="preserve">Frøgræs        5,0 kg
Korn             20,0 kg
Kløvergræs   8,0 Fe
Græs           10,0 Fe
Bælgsæd       0,0 kg 
</t>
        </r>
        <r>
          <rPr>
            <b/>
            <sz val="8"/>
            <rFont val="Tahoma"/>
            <family val="0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0"/>
          </rPr>
          <t>Udbytte uden forfrugt og tildeling af husdyrgødning</t>
        </r>
      </text>
    </comment>
    <comment ref="P25" authorId="0">
      <text>
        <r>
          <rPr>
            <sz val="8"/>
            <rFont val="Tahoma"/>
            <family val="0"/>
          </rPr>
          <t>Ekskl. udbringelse af husdyrgødning</t>
        </r>
      </text>
    </comment>
    <comment ref="D26" authorId="0">
      <text>
        <r>
          <rPr>
            <b/>
            <sz val="8"/>
            <rFont val="Tahoma"/>
            <family val="0"/>
          </rPr>
          <t xml:space="preserve">Udbytterespons pr kg effektivt N
Sandjord
</t>
        </r>
        <r>
          <rPr>
            <sz val="8"/>
            <rFont val="Tahoma"/>
            <family val="2"/>
          </rPr>
          <t xml:space="preserve">Frøgræs         5,0 kg
Korn              25,0 kg
Kløvergræs   8,0 Fe
Græs             10,0 Fe
Bælgsæd        0,0 kg
</t>
        </r>
        <r>
          <rPr>
            <b/>
            <sz val="8"/>
            <rFont val="Tahoma"/>
            <family val="2"/>
          </rPr>
          <t xml:space="preserve">Lerjord
</t>
        </r>
        <r>
          <rPr>
            <sz val="8"/>
            <rFont val="Tahoma"/>
            <family val="2"/>
          </rPr>
          <t xml:space="preserve">Frøgræs        5,0 kg
Korn             20,0 kg
Kløvergræs   8,0 Fe
Græs           10,0 Fe
Bælgsæd       0,0 kg 
</t>
        </r>
        <r>
          <rPr>
            <b/>
            <sz val="8"/>
            <rFont val="Tahoma"/>
            <family val="0"/>
          </rPr>
          <t xml:space="preserve">
</t>
        </r>
      </text>
    </comment>
    <comment ref="B29" authorId="0">
      <text>
        <r>
          <rPr>
            <b/>
            <sz val="8"/>
            <rFont val="Tahoma"/>
            <family val="0"/>
          </rPr>
          <t>Pris på rod</t>
        </r>
      </text>
    </comment>
    <comment ref="B31" authorId="0">
      <text>
        <r>
          <rPr>
            <b/>
            <sz val="8"/>
            <rFont val="Tahoma"/>
            <family val="0"/>
          </rPr>
          <t>Pris på rod</t>
        </r>
      </text>
    </comment>
    <comment ref="A30" authorId="0">
      <text>
        <r>
          <rPr>
            <b/>
            <sz val="8"/>
            <rFont val="Tahoma"/>
            <family val="0"/>
          </rPr>
          <t>Bioafgrøder forudsættes afsat til biogasanlæg</t>
        </r>
      </text>
    </comment>
  </commentList>
</comments>
</file>

<file path=xl/comments6.xml><?xml version="1.0" encoding="utf-8"?>
<comments xmlns="http://schemas.openxmlformats.org/spreadsheetml/2006/main">
  <authors>
    <author>niels</author>
  </authors>
  <commentList>
    <comment ref="D4" authorId="0">
      <text>
        <r>
          <rPr>
            <b/>
            <sz val="8"/>
            <rFont val="Tahoma"/>
            <family val="0"/>
          </rPr>
          <t>Beregnet som annuitet</t>
        </r>
      </text>
    </comment>
  </commentList>
</comments>
</file>

<file path=xl/sharedStrings.xml><?xml version="1.0" encoding="utf-8"?>
<sst xmlns="http://schemas.openxmlformats.org/spreadsheetml/2006/main" count="303" uniqueCount="121">
  <si>
    <t>Nudrift</t>
  </si>
  <si>
    <t>korn</t>
  </si>
  <si>
    <t>kløvergræs</t>
  </si>
  <si>
    <t>kg</t>
  </si>
  <si>
    <t>pr hektar</t>
  </si>
  <si>
    <t>N i alt</t>
  </si>
  <si>
    <t>Bælgsæd</t>
  </si>
  <si>
    <t>Husdyrgødning</t>
  </si>
  <si>
    <t>N-respons</t>
  </si>
  <si>
    <t>Eftervirkning</t>
  </si>
  <si>
    <t>kvælstof</t>
  </si>
  <si>
    <t>i alt</t>
  </si>
  <si>
    <t>N</t>
  </si>
  <si>
    <t>N pr ha</t>
  </si>
  <si>
    <t>Placering</t>
  </si>
  <si>
    <t>eftervirkning</t>
  </si>
  <si>
    <t>efterafgrøder</t>
  </si>
  <si>
    <t>Tons</t>
  </si>
  <si>
    <t>Indhold pr tons</t>
  </si>
  <si>
    <t>Total-N</t>
  </si>
  <si>
    <t>af husdyrgødning</t>
  </si>
  <si>
    <t>N-total</t>
  </si>
  <si>
    <t>Udnyttelse</t>
  </si>
  <si>
    <t>Effektivt</t>
  </si>
  <si>
    <t>Effektivt N, kg</t>
  </si>
  <si>
    <t>pr ha</t>
  </si>
  <si>
    <t>enhed</t>
  </si>
  <si>
    <t>Fe</t>
  </si>
  <si>
    <t>Frøgræs</t>
  </si>
  <si>
    <t>Græs/vedv. græs</t>
  </si>
  <si>
    <t>I alt</t>
  </si>
  <si>
    <t>Pct.</t>
  </si>
  <si>
    <t>Pris, kr</t>
  </si>
  <si>
    <t>max</t>
  </si>
  <si>
    <t>kr. pr ha</t>
  </si>
  <si>
    <t>Maskinomkost.</t>
  </si>
  <si>
    <t>kr. pr ha.</t>
  </si>
  <si>
    <t>Pris</t>
  </si>
  <si>
    <t>husdyrgødning</t>
  </si>
  <si>
    <t>Udbringelse</t>
  </si>
  <si>
    <t>kr. pr tons</t>
  </si>
  <si>
    <t>Basisudbytte</t>
  </si>
  <si>
    <t>Kg</t>
  </si>
  <si>
    <t>max udbytte</t>
  </si>
  <si>
    <t>Udbytter</t>
  </si>
  <si>
    <t>Areal</t>
  </si>
  <si>
    <t>Udsæd</t>
  </si>
  <si>
    <t>Udbytte</t>
  </si>
  <si>
    <t>Stykomkostninger</t>
  </si>
  <si>
    <t xml:space="preserve">  Udsæd</t>
  </si>
  <si>
    <t>Arbejds- og maskinomkostninger</t>
  </si>
  <si>
    <t>Dækningsbidrag</t>
  </si>
  <si>
    <t>Afskrivningsperiode</t>
  </si>
  <si>
    <t>Årlig afskrivning</t>
  </si>
  <si>
    <t>Rente p.a.</t>
  </si>
  <si>
    <t>antal år</t>
  </si>
  <si>
    <t>Resultat efter afskrivninger og rente</t>
  </si>
  <si>
    <t xml:space="preserve">  Afskrivninger og forrentning</t>
  </si>
  <si>
    <t>Pumper og div.</t>
  </si>
  <si>
    <t>Tekst</t>
  </si>
  <si>
    <t>Biogylle</t>
  </si>
  <si>
    <t>Gødning</t>
  </si>
  <si>
    <t>Fe pr ha.</t>
  </si>
  <si>
    <t>Udbytter i alt</t>
  </si>
  <si>
    <t xml:space="preserve">Kg pr </t>
  </si>
  <si>
    <t>Tons pr læs</t>
  </si>
  <si>
    <t>km i timen</t>
  </si>
  <si>
    <t>Pris transport</t>
  </si>
  <si>
    <t>pr tons, kr.</t>
  </si>
  <si>
    <t>I alt, kr.</t>
  </si>
  <si>
    <t>Tons i alt</t>
  </si>
  <si>
    <t xml:space="preserve">  Transport til og fra biogasanlæg</t>
  </si>
  <si>
    <t xml:space="preserve">  Maskinomkostninger</t>
  </si>
  <si>
    <t>Hektar</t>
  </si>
  <si>
    <t>pr ha. kr.</t>
  </si>
  <si>
    <t>effektivt</t>
  </si>
  <si>
    <t>Responsværdi</t>
  </si>
  <si>
    <t>kr pr eff. Kg N</t>
  </si>
  <si>
    <t>Biomasse</t>
  </si>
  <si>
    <t>Fast møg</t>
  </si>
  <si>
    <t>Gylle</t>
  </si>
  <si>
    <t>I alt til biogasanlæg</t>
  </si>
  <si>
    <t xml:space="preserve">  Salg af biomasse</t>
  </si>
  <si>
    <t xml:space="preserve">  Salg af afgrøder</t>
  </si>
  <si>
    <t xml:space="preserve">  Fast møg fra egen besætning</t>
  </si>
  <si>
    <t xml:space="preserve">  Fast møg import</t>
  </si>
  <si>
    <t xml:space="preserve">  Eget fast møg til biogasanlæg</t>
  </si>
  <si>
    <t xml:space="preserve">  Importeret fast møg til biogasanlæg</t>
  </si>
  <si>
    <t xml:space="preserve">  Gylle fra egen besætning</t>
  </si>
  <si>
    <t xml:space="preserve">  Gylle import</t>
  </si>
  <si>
    <t xml:space="preserve">  Eget gylle til biogasanlæg</t>
  </si>
  <si>
    <t xml:space="preserve">  Importeret gylle til biogasanlæg</t>
  </si>
  <si>
    <t xml:space="preserve">  Biogylle</t>
  </si>
  <si>
    <t xml:space="preserve">  Køb af husdyrgødning</t>
  </si>
  <si>
    <t xml:space="preserve">Afgrødeværdi </t>
  </si>
  <si>
    <t>Pris pr</t>
  </si>
  <si>
    <t>i alt, kg</t>
  </si>
  <si>
    <t>Kg N pr ha.</t>
  </si>
  <si>
    <t>Kg N pr tons</t>
  </si>
  <si>
    <t>Husdyrgødning i alt</t>
  </si>
  <si>
    <t>Transport</t>
  </si>
  <si>
    <t>Timepris, kr</t>
  </si>
  <si>
    <t>Afstand, km</t>
  </si>
  <si>
    <t>Hastighed, gns</t>
  </si>
  <si>
    <t>Mængder TIL biogasanlæg</t>
  </si>
  <si>
    <t>Mængder FRA biogasanlæg</t>
  </si>
  <si>
    <t>Gylletank</t>
  </si>
  <si>
    <t>Investering, kr.</t>
  </si>
  <si>
    <t>og forrentning, kr.</t>
  </si>
  <si>
    <t>Hovedafgrøder</t>
  </si>
  <si>
    <t>Efterafgrøder</t>
  </si>
  <si>
    <t>Efterafgrøde 1</t>
  </si>
  <si>
    <t>Efterafgrøde 2</t>
  </si>
  <si>
    <t>fe</t>
  </si>
  <si>
    <t>Biogasdrift</t>
  </si>
  <si>
    <t xml:space="preserve">  Udbringning af gødning</t>
  </si>
  <si>
    <t xml:space="preserve">  Køb a biogasgylle</t>
  </si>
  <si>
    <t>Biogas Kløvergræs</t>
  </si>
  <si>
    <t>Biogas Græa/vedv. græs</t>
  </si>
  <si>
    <t>Biogas efterafgrøde 1</t>
  </si>
  <si>
    <t>Biogas efterafgrøde 2</t>
  </si>
</sst>
</file>

<file path=xl/styles.xml><?xml version="1.0" encoding="utf-8"?>
<styleSheet xmlns="http://schemas.openxmlformats.org/spreadsheetml/2006/main">
  <numFmts count="3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"/>
    <numFmt numFmtId="179" formatCode="0.000"/>
    <numFmt numFmtId="180" formatCode="0.0000"/>
    <numFmt numFmtId="181" formatCode="&quot;kr&quot;\ #,##0"/>
    <numFmt numFmtId="182" formatCode="0.00000000"/>
    <numFmt numFmtId="183" formatCode="0.0000000"/>
    <numFmt numFmtId="184" formatCode="0.000000"/>
    <numFmt numFmtId="185" formatCode="0.00000"/>
    <numFmt numFmtId="186" formatCode="0.0%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10"/>
      <color indexed="9"/>
      <name val="Arial"/>
      <family val="0"/>
    </font>
    <font>
      <b/>
      <sz val="12"/>
      <name val="Arial"/>
      <family val="2"/>
    </font>
    <font>
      <sz val="8"/>
      <name val="Tahoma"/>
      <family val="0"/>
    </font>
    <font>
      <sz val="10"/>
      <color indexed="42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5" fillId="24" borderId="3" applyNumberFormat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2" fontId="0" fillId="0" borderId="0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0" fillId="33" borderId="0" xfId="0" applyFill="1" applyAlignment="1">
      <alignment/>
    </xf>
    <xf numFmtId="0" fontId="0" fillId="0" borderId="18" xfId="0" applyBorder="1" applyAlignment="1">
      <alignment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/>
    </xf>
    <xf numFmtId="178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19" xfId="0" applyFont="1" applyBorder="1" applyAlignment="1">
      <alignment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178" fontId="0" fillId="34" borderId="0" xfId="0" applyNumberFormat="1" applyFill="1" applyAlignment="1">
      <alignment horizontal="center"/>
    </xf>
    <xf numFmtId="0" fontId="0" fillId="34" borderId="0" xfId="0" applyFill="1" applyBorder="1" applyAlignment="1">
      <alignment horizontal="center"/>
    </xf>
    <xf numFmtId="1" fontId="0" fillId="34" borderId="0" xfId="0" applyNumberForma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center"/>
    </xf>
    <xf numFmtId="178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9" fontId="4" fillId="34" borderId="0" xfId="54" applyFont="1" applyFill="1" applyBorder="1" applyAlignment="1">
      <alignment horizontal="center"/>
    </xf>
    <xf numFmtId="1" fontId="4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 horizontal="left"/>
    </xf>
    <xf numFmtId="178" fontId="0" fillId="0" borderId="10" xfId="0" applyNumberFormat="1" applyBorder="1" applyAlignment="1">
      <alignment horizontal="center"/>
    </xf>
    <xf numFmtId="178" fontId="0" fillId="33" borderId="0" xfId="0" applyNumberForma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18" xfId="0" applyFill="1" applyBorder="1" applyAlignment="1">
      <alignment horizontal="center"/>
    </xf>
    <xf numFmtId="181" fontId="0" fillId="33" borderId="18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178" fontId="0" fillId="35" borderId="10" xfId="0" applyNumberForma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/>
    </xf>
    <xf numFmtId="181" fontId="0" fillId="35" borderId="10" xfId="0" applyNumberForma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18" xfId="0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9" fontId="2" fillId="0" borderId="10" xfId="54" applyFont="1" applyBorder="1" applyAlignment="1">
      <alignment horizontal="center"/>
    </xf>
    <xf numFmtId="9" fontId="0" fillId="0" borderId="10" xfId="54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1" fontId="0" fillId="33" borderId="0" xfId="0" applyNumberForma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33" borderId="18" xfId="0" applyFill="1" applyBorder="1" applyAlignment="1">
      <alignment horizontal="left"/>
    </xf>
    <xf numFmtId="1" fontId="0" fillId="33" borderId="18" xfId="0" applyNumberFormat="1" applyFill="1" applyBorder="1" applyAlignment="1">
      <alignment horizontal="center"/>
    </xf>
    <xf numFmtId="1" fontId="4" fillId="33" borderId="0" xfId="0" applyNumberFormat="1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 horizontal="left"/>
    </xf>
    <xf numFmtId="0" fontId="1" fillId="34" borderId="0" xfId="0" applyFont="1" applyFill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0" fillId="34" borderId="18" xfId="0" applyFill="1" applyBorder="1" applyAlignment="1">
      <alignment horizontal="left"/>
    </xf>
    <xf numFmtId="1" fontId="0" fillId="34" borderId="18" xfId="0" applyNumberFormat="1" applyFill="1" applyBorder="1" applyAlignment="1">
      <alignment horizontal="center"/>
    </xf>
    <xf numFmtId="1" fontId="4" fillId="34" borderId="0" xfId="0" applyNumberFormat="1" applyFont="1" applyFill="1" applyBorder="1" applyAlignment="1">
      <alignment horizontal="center"/>
    </xf>
    <xf numFmtId="1" fontId="7" fillId="34" borderId="0" xfId="0" applyNumberFormat="1" applyFont="1" applyFill="1" applyAlignment="1">
      <alignment horizontal="center"/>
    </xf>
    <xf numFmtId="1" fontId="0" fillId="34" borderId="0" xfId="0" applyNumberFormat="1" applyFill="1" applyAlignment="1">
      <alignment/>
    </xf>
    <xf numFmtId="0" fontId="0" fillId="34" borderId="0" xfId="0" applyFill="1" applyBorder="1" applyAlignment="1">
      <alignment/>
    </xf>
    <xf numFmtId="0" fontId="0" fillId="33" borderId="0" xfId="0" applyFill="1" applyBorder="1" applyAlignment="1">
      <alignment horizontal="right"/>
    </xf>
    <xf numFmtId="3" fontId="0" fillId="33" borderId="0" xfId="0" applyNumberForma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0" fillId="33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2" fontId="0" fillId="34" borderId="0" xfId="0" applyNumberFormat="1" applyFill="1" applyAlignment="1">
      <alignment horizontal="center"/>
    </xf>
    <xf numFmtId="2" fontId="0" fillId="0" borderId="10" xfId="0" applyNumberFormat="1" applyBorder="1" applyAlignment="1">
      <alignment horizontal="center"/>
    </xf>
    <xf numFmtId="1" fontId="2" fillId="34" borderId="0" xfId="0" applyNumberFormat="1" applyFont="1" applyFill="1" applyBorder="1" applyAlignment="1">
      <alignment/>
    </xf>
    <xf numFmtId="0" fontId="0" fillId="34" borderId="18" xfId="0" applyFill="1" applyBorder="1" applyAlignment="1">
      <alignment horizontal="right"/>
    </xf>
    <xf numFmtId="0" fontId="2" fillId="36" borderId="10" xfId="0" applyFont="1" applyFill="1" applyBorder="1" applyAlignment="1" applyProtection="1">
      <alignment horizontal="center"/>
      <protection locked="0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 horizontal="center"/>
    </xf>
    <xf numFmtId="0" fontId="0" fillId="34" borderId="22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/>
      <protection locked="0"/>
    </xf>
    <xf numFmtId="0" fontId="2" fillId="34" borderId="23" xfId="0" applyFont="1" applyFill="1" applyBorder="1" applyAlignment="1">
      <alignment/>
    </xf>
    <xf numFmtId="2" fontId="0" fillId="36" borderId="10" xfId="54" applyNumberFormat="1" applyFont="1" applyFill="1" applyBorder="1" applyAlignment="1" applyProtection="1">
      <alignment horizontal="center"/>
      <protection locked="0"/>
    </xf>
    <xf numFmtId="2" fontId="0" fillId="36" borderId="24" xfId="54" applyNumberFormat="1" applyFont="1" applyFill="1" applyBorder="1" applyAlignment="1" applyProtection="1">
      <alignment horizontal="center"/>
      <protection locked="0"/>
    </xf>
    <xf numFmtId="0" fontId="0" fillId="36" borderId="10" xfId="0" applyFill="1" applyBorder="1" applyAlignment="1" applyProtection="1">
      <alignment horizontal="center"/>
      <protection locked="0"/>
    </xf>
    <xf numFmtId="0" fontId="0" fillId="36" borderId="24" xfId="0" applyFill="1" applyBorder="1" applyAlignment="1" applyProtection="1">
      <alignment horizontal="center"/>
      <protection locked="0"/>
    </xf>
    <xf numFmtId="2" fontId="0" fillId="36" borderId="25" xfId="54" applyNumberFormat="1" applyFont="1" applyFill="1" applyBorder="1" applyAlignment="1" applyProtection="1">
      <alignment horizontal="center"/>
      <protection locked="0"/>
    </xf>
    <xf numFmtId="0" fontId="0" fillId="36" borderId="26" xfId="0" applyFill="1" applyBorder="1" applyAlignment="1" applyProtection="1">
      <alignment horizontal="center"/>
      <protection locked="0"/>
    </xf>
    <xf numFmtId="9" fontId="0" fillId="36" borderId="10" xfId="54" applyFont="1" applyFill="1" applyBorder="1" applyAlignment="1" applyProtection="1">
      <alignment horizontal="center"/>
      <protection locked="0"/>
    </xf>
    <xf numFmtId="0" fontId="0" fillId="36" borderId="10" xfId="0" applyFont="1" applyFill="1" applyBorder="1" applyAlignment="1" applyProtection="1">
      <alignment horizontal="center"/>
      <protection locked="0"/>
    </xf>
    <xf numFmtId="178" fontId="0" fillId="36" borderId="10" xfId="0" applyNumberForma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2" fontId="0" fillId="36" borderId="10" xfId="0" applyNumberFormat="1" applyFill="1" applyBorder="1" applyAlignment="1" applyProtection="1">
      <alignment horizontal="center"/>
      <protection locked="0"/>
    </xf>
    <xf numFmtId="1" fontId="0" fillId="36" borderId="10" xfId="0" applyNumberFormat="1" applyFill="1" applyBorder="1" applyAlignment="1" applyProtection="1">
      <alignment horizontal="center"/>
      <protection locked="0"/>
    </xf>
    <xf numFmtId="3" fontId="0" fillId="36" borderId="10" xfId="0" applyNumberFormat="1" applyFill="1" applyBorder="1" applyAlignment="1" applyProtection="1">
      <alignment horizontal="center"/>
      <protection locked="0"/>
    </xf>
    <xf numFmtId="178" fontId="0" fillId="36" borderId="27" xfId="0" applyNumberFormat="1" applyFill="1" applyBorder="1" applyAlignment="1" applyProtection="1">
      <alignment horizontal="center"/>
      <protection locked="0"/>
    </xf>
    <xf numFmtId="10" fontId="0" fillId="36" borderId="24" xfId="54" applyNumberFormat="1" applyFont="1" applyFill="1" applyBorder="1" applyAlignment="1" applyProtection="1">
      <alignment horizontal="center"/>
      <protection locked="0"/>
    </xf>
    <xf numFmtId="0" fontId="0" fillId="36" borderId="28" xfId="0" applyFill="1" applyBorder="1" applyAlignment="1" applyProtection="1">
      <alignment/>
      <protection locked="0"/>
    </xf>
    <xf numFmtId="0" fontId="0" fillId="35" borderId="26" xfId="0" applyFill="1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 horizontal="center"/>
      <protection/>
    </xf>
    <xf numFmtId="1" fontId="2" fillId="0" borderId="10" xfId="0" applyNumberFormat="1" applyFont="1" applyBorder="1" applyAlignment="1">
      <alignment horizontal="center"/>
    </xf>
    <xf numFmtId="3" fontId="0" fillId="0" borderId="16" xfId="0" applyNumberFormat="1" applyBorder="1" applyAlignment="1">
      <alignment/>
    </xf>
    <xf numFmtId="0" fontId="0" fillId="36" borderId="10" xfId="0" applyFill="1" applyBorder="1" applyAlignment="1" applyProtection="1">
      <alignment/>
      <protection locked="0"/>
    </xf>
    <xf numFmtId="9" fontId="0" fillId="34" borderId="0" xfId="54" applyFont="1" applyFill="1" applyBorder="1" applyAlignment="1" applyProtection="1">
      <alignment horizontal="center"/>
      <protection locked="0"/>
    </xf>
    <xf numFmtId="1" fontId="0" fillId="34" borderId="0" xfId="0" applyNumberFormat="1" applyFill="1" applyBorder="1" applyAlignment="1">
      <alignment horizontal="center"/>
    </xf>
    <xf numFmtId="0" fontId="0" fillId="34" borderId="0" xfId="0" applyFont="1" applyFill="1" applyBorder="1" applyAlignment="1" applyProtection="1">
      <alignment horizontal="center"/>
      <protection locked="0"/>
    </xf>
    <xf numFmtId="178" fontId="0" fillId="34" borderId="0" xfId="0" applyNumberFormat="1" applyFill="1" applyBorder="1" applyAlignment="1">
      <alignment horizontal="center"/>
    </xf>
    <xf numFmtId="178" fontId="8" fillId="34" borderId="0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2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78" fontId="0" fillId="0" borderId="1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181" fontId="0" fillId="34" borderId="0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9" fontId="0" fillId="0" borderId="10" xfId="54" applyFont="1" applyFill="1" applyBorder="1" applyAlignment="1">
      <alignment horizontal="center"/>
    </xf>
    <xf numFmtId="3" fontId="2" fillId="34" borderId="0" xfId="0" applyNumberFormat="1" applyFont="1" applyFill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3" fontId="0" fillId="0" borderId="31" xfId="0" applyNumberFormat="1" applyFill="1" applyBorder="1" applyAlignment="1" applyProtection="1">
      <alignment horizontal="center"/>
      <protection locked="0"/>
    </xf>
    <xf numFmtId="3" fontId="0" fillId="0" borderId="32" xfId="0" applyNumberFormat="1" applyFill="1" applyBorder="1" applyAlignment="1">
      <alignment horizontal="center"/>
    </xf>
    <xf numFmtId="3" fontId="0" fillId="0" borderId="33" xfId="0" applyNumberFormat="1" applyFill="1" applyBorder="1" applyAlignment="1">
      <alignment horizontal="center"/>
    </xf>
    <xf numFmtId="178" fontId="2" fillId="0" borderId="10" xfId="0" applyNumberFormat="1" applyFont="1" applyFill="1" applyBorder="1" applyAlignment="1">
      <alignment horizontal="center"/>
    </xf>
    <xf numFmtId="0" fontId="0" fillId="36" borderId="10" xfId="0" applyFont="1" applyFill="1" applyBorder="1" applyAlignment="1" applyProtection="1">
      <alignment horizontal="center"/>
      <protection locked="0"/>
    </xf>
    <xf numFmtId="178" fontId="0" fillId="0" borderId="10" xfId="0" applyNumberForma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78" fontId="0" fillId="33" borderId="0" xfId="0" applyNumberFormat="1" applyFill="1" applyBorder="1" applyAlignment="1" applyProtection="1">
      <alignment horizontal="center"/>
      <protection locked="0"/>
    </xf>
    <xf numFmtId="178" fontId="0" fillId="33" borderId="0" xfId="0" applyNumberFormat="1" applyFill="1" applyBorder="1" applyAlignment="1">
      <alignment horizontal="center"/>
    </xf>
    <xf numFmtId="1" fontId="0" fillId="33" borderId="0" xfId="0" applyNumberForma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3" fontId="0" fillId="33" borderId="0" xfId="0" applyNumberFormat="1" applyFill="1" applyBorder="1" applyAlignment="1" applyProtection="1">
      <alignment horizontal="center"/>
      <protection locked="0"/>
    </xf>
    <xf numFmtId="2" fontId="2" fillId="33" borderId="0" xfId="0" applyNumberFormat="1" applyFont="1" applyFill="1" applyBorder="1" applyAlignment="1">
      <alignment horizontal="center"/>
    </xf>
    <xf numFmtId="9" fontId="2" fillId="33" borderId="0" xfId="54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1" fontId="4" fillId="33" borderId="0" xfId="0" applyNumberFormat="1" applyFont="1" applyFill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1" fontId="0" fillId="33" borderId="0" xfId="0" applyNumberForma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0" fillId="33" borderId="0" xfId="54" applyNumberFormat="1" applyFont="1" applyFill="1" applyBorder="1" applyAlignment="1" applyProtection="1">
      <alignment horizontal="center"/>
      <protection/>
    </xf>
    <xf numFmtId="9" fontId="0" fillId="33" borderId="0" xfId="54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0" fillId="34" borderId="0" xfId="0" applyFill="1" applyBorder="1" applyAlignment="1" applyProtection="1">
      <alignment/>
      <protection/>
    </xf>
    <xf numFmtId="2" fontId="0" fillId="34" borderId="0" xfId="54" applyNumberFormat="1" applyFont="1" applyFill="1" applyBorder="1" applyAlignment="1" applyProtection="1">
      <alignment horizontal="center"/>
      <protection/>
    </xf>
    <xf numFmtId="9" fontId="0" fillId="34" borderId="0" xfId="54" applyFont="1" applyFill="1" applyBorder="1" applyAlignment="1" applyProtection="1">
      <alignment horizontal="center"/>
      <protection/>
    </xf>
    <xf numFmtId="1" fontId="4" fillId="34" borderId="0" xfId="0" applyNumberFormat="1" applyFont="1" applyFill="1" applyBorder="1" applyAlignment="1" applyProtection="1">
      <alignment horizontal="center"/>
      <protection/>
    </xf>
    <xf numFmtId="1" fontId="0" fillId="34" borderId="0" xfId="0" applyNumberFormat="1" applyFill="1" applyBorder="1" applyAlignment="1" applyProtection="1">
      <alignment horizontal="center"/>
      <protection/>
    </xf>
    <xf numFmtId="3" fontId="0" fillId="34" borderId="0" xfId="0" applyNumberFormat="1" applyFill="1" applyBorder="1" applyAlignment="1" applyProtection="1">
      <alignment horizontal="center"/>
      <protection/>
    </xf>
    <xf numFmtId="1" fontId="0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 horizontal="center"/>
    </xf>
    <xf numFmtId="1" fontId="0" fillId="36" borderId="34" xfId="0" applyNumberForma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1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9"/>
      </font>
      <fill>
        <patternFill>
          <bgColor indexed="43"/>
        </patternFill>
      </fill>
    </dxf>
    <dxf>
      <font>
        <color indexed="9"/>
      </font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showZeros="0" tabSelected="1" zoomScalePageLayoutView="0" workbookViewId="0" topLeftCell="A1">
      <selection activeCell="D17" sqref="D17"/>
    </sheetView>
  </sheetViews>
  <sheetFormatPr defaultColWidth="9.140625" defaultRowHeight="12.75"/>
  <cols>
    <col min="1" max="1" width="4.00390625" style="0" customWidth="1"/>
    <col min="2" max="2" width="30.28125" style="0" customWidth="1"/>
    <col min="3" max="3" width="11.8515625" style="0" bestFit="1" customWidth="1"/>
    <col min="5" max="6" width="3.140625" style="0" customWidth="1"/>
    <col min="7" max="7" width="34.7109375" style="0" customWidth="1"/>
    <col min="8" max="8" width="11.8515625" style="0" bestFit="1" customWidth="1"/>
    <col min="10" max="10" width="3.57421875" style="0" customWidth="1"/>
  </cols>
  <sheetData>
    <row r="1" spans="1:10" ht="12.75">
      <c r="A1" s="26"/>
      <c r="B1" s="26"/>
      <c r="C1" s="26"/>
      <c r="D1" s="26"/>
      <c r="E1" s="26"/>
      <c r="F1" s="45"/>
      <c r="G1" s="45"/>
      <c r="H1" s="45"/>
      <c r="I1" s="45"/>
      <c r="J1" s="45"/>
    </row>
    <row r="2" spans="1:10" ht="15.75">
      <c r="A2" s="26"/>
      <c r="B2" s="39" t="s">
        <v>0</v>
      </c>
      <c r="C2" s="11"/>
      <c r="D2" s="12"/>
      <c r="E2" s="29"/>
      <c r="F2" s="45"/>
      <c r="G2" s="39" t="s">
        <v>114</v>
      </c>
      <c r="H2" s="11"/>
      <c r="I2" s="12"/>
      <c r="J2" s="45"/>
    </row>
    <row r="3" spans="1:10" ht="12.75">
      <c r="A3" s="26"/>
      <c r="B3" s="13"/>
      <c r="C3" s="6"/>
      <c r="D3" s="14"/>
      <c r="E3" s="29"/>
      <c r="F3" s="45"/>
      <c r="G3" s="13"/>
      <c r="H3" s="6"/>
      <c r="I3" s="14"/>
      <c r="J3" s="45"/>
    </row>
    <row r="4" spans="1:10" ht="12.75">
      <c r="A4" s="26"/>
      <c r="B4" s="15" t="s">
        <v>47</v>
      </c>
      <c r="C4" s="16" t="s">
        <v>25</v>
      </c>
      <c r="D4" s="17" t="s">
        <v>30</v>
      </c>
      <c r="E4" s="104"/>
      <c r="F4" s="45"/>
      <c r="G4" s="15" t="s">
        <v>47</v>
      </c>
      <c r="H4" s="16" t="s">
        <v>25</v>
      </c>
      <c r="I4" s="17" t="s">
        <v>30</v>
      </c>
      <c r="J4" s="45"/>
    </row>
    <row r="5" spans="1:10" ht="12.75">
      <c r="A5" s="26"/>
      <c r="B5" s="15"/>
      <c r="C5" s="16"/>
      <c r="D5" s="17"/>
      <c r="E5" s="104"/>
      <c r="F5" s="45"/>
      <c r="G5" s="22" t="s">
        <v>82</v>
      </c>
      <c r="H5" s="18">
        <f>IF(Mark!$B$36=0,0,I5/Mark!$B$36)</f>
        <v>0</v>
      </c>
      <c r="I5" s="19">
        <f>(Mark!B31*Mark!T31)+(Mark!B33*Mark!T33)+(Mark!B41*Mark!T41)+(Mark!B42*Mark!T42)</f>
        <v>0</v>
      </c>
      <c r="J5" s="45"/>
    </row>
    <row r="6" spans="1:10" ht="12.75">
      <c r="A6" s="26"/>
      <c r="B6" s="13" t="s">
        <v>83</v>
      </c>
      <c r="C6" s="18">
        <f>IF(Mark!$B$13=0,0,D6/Mark!$B$13)</f>
        <v>0</v>
      </c>
      <c r="D6" s="19">
        <f>SUMPRODUCT(Mark!B7:B12,Mark!T7:T12)+(Mark!B16*Mark!T16)+(Mark!B17*Mark!T17)</f>
        <v>0</v>
      </c>
      <c r="E6" s="105"/>
      <c r="F6" s="45"/>
      <c r="G6" s="13" t="s">
        <v>83</v>
      </c>
      <c r="H6" s="18">
        <f>IF(Mark!$B$36=0,0,I6/Mark!$B$36)</f>
        <v>0</v>
      </c>
      <c r="I6" s="19">
        <f>(Mark!B28*Mark!T28)+(Mark!B29*Mark!T29)+(Mark!B30*Mark!T30)+(Mark!B32*Mark!T32)+(Mark!B34*Mark!T34)+(Mark!B35*Mark!T35)+(Mark!B39*Mark!T39)+(Mark!B40*Mark!T40)</f>
        <v>0</v>
      </c>
      <c r="J6" s="45"/>
    </row>
    <row r="7" spans="1:10" ht="12.75">
      <c r="A7" s="26"/>
      <c r="B7" s="15" t="s">
        <v>30</v>
      </c>
      <c r="C7" s="20">
        <f>SUM(C6:C6)</f>
        <v>0</v>
      </c>
      <c r="D7" s="21">
        <f>SUM(D6:D6)</f>
        <v>0</v>
      </c>
      <c r="E7" s="106"/>
      <c r="F7" s="45"/>
      <c r="G7" s="15" t="s">
        <v>30</v>
      </c>
      <c r="H7" s="20">
        <f>SUM(H5:H6)</f>
        <v>0</v>
      </c>
      <c r="I7" s="21">
        <f>SUM(I5:I6)</f>
        <v>0</v>
      </c>
      <c r="J7" s="45"/>
    </row>
    <row r="8" spans="1:10" ht="12.75">
      <c r="A8" s="26"/>
      <c r="B8" s="13"/>
      <c r="C8" s="6"/>
      <c r="D8" s="14"/>
      <c r="E8" s="29"/>
      <c r="F8" s="45"/>
      <c r="G8" s="13"/>
      <c r="H8" s="18"/>
      <c r="I8" s="14"/>
      <c r="J8" s="45"/>
    </row>
    <row r="9" spans="1:10" ht="12.75">
      <c r="A9" s="26"/>
      <c r="B9" s="15" t="s">
        <v>48</v>
      </c>
      <c r="C9" s="6"/>
      <c r="D9" s="14"/>
      <c r="E9" s="29"/>
      <c r="F9" s="45"/>
      <c r="G9" s="15" t="s">
        <v>48</v>
      </c>
      <c r="H9" s="18"/>
      <c r="I9" s="14"/>
      <c r="J9" s="45"/>
    </row>
    <row r="10" spans="1:10" ht="12.75">
      <c r="A10" s="26"/>
      <c r="B10" s="13" t="s">
        <v>49</v>
      </c>
      <c r="C10" s="18">
        <f>IF(Mark!$B$13=0,0,D10/Mark!$B$13)</f>
        <v>0</v>
      </c>
      <c r="D10" s="19">
        <f>(SUMPRODUCT(Forudsætninger!N7:N12,Mark!B7:B12))+(Mark!B16*Forudsætninger!N16)+(Mark!B17*Forudsætninger!N17)</f>
        <v>0</v>
      </c>
      <c r="E10" s="105"/>
      <c r="F10" s="45"/>
      <c r="G10" s="13" t="s">
        <v>49</v>
      </c>
      <c r="H10" s="18">
        <f>IF(Mark!$B$36=0,0,I10/Mark!$B$36)</f>
        <v>0</v>
      </c>
      <c r="I10" s="19">
        <f>(SUMPRODUCT(Forudsætninger!N27:N34,Mark!B28:B35))+(SUMPRODUCT(Forudsætninger!N37:N40,Mark!B39:B42))</f>
        <v>0</v>
      </c>
      <c r="J10" s="45"/>
    </row>
    <row r="11" spans="1:10" ht="12.75">
      <c r="A11" s="26"/>
      <c r="B11" s="22" t="s">
        <v>93</v>
      </c>
      <c r="C11" s="18">
        <f>IF(Mark!$B$13=0,0,D11/Mark!$B$13)</f>
        <v>0</v>
      </c>
      <c r="D11" s="19">
        <f>Gødning!L12</f>
        <v>0</v>
      </c>
      <c r="E11" s="105"/>
      <c r="F11" s="45"/>
      <c r="G11" s="22" t="s">
        <v>93</v>
      </c>
      <c r="H11" s="18">
        <f>IF(Mark!$B$36=0,0,I11/Mark!$B$36)</f>
        <v>0</v>
      </c>
      <c r="I11" s="19">
        <f>(Gødning!B19*Gødning!L19)+(Gødning!B20*Gødning!L20)-(Gødning!B21*Gødning!L21)-(Gødning!B22*Gødning!L22)+(Gødning!B24*Gødning!L24)+(Gødning!B25*Gødning!L25)-(Gødning!B26*Gødning!L26)-(Gødning!B27*Gødning!L27)</f>
        <v>0</v>
      </c>
      <c r="J11" s="45"/>
    </row>
    <row r="12" spans="1:10" ht="12.75">
      <c r="A12" s="26"/>
      <c r="B12" s="22" t="s">
        <v>115</v>
      </c>
      <c r="C12" s="18">
        <f>IF(Mark!$B$13=0,0,D12/Mark!$B$13)</f>
        <v>0</v>
      </c>
      <c r="D12" s="19">
        <f>Gødning!N12</f>
        <v>0</v>
      </c>
      <c r="E12" s="105"/>
      <c r="F12" s="45"/>
      <c r="G12" s="22" t="s">
        <v>115</v>
      </c>
      <c r="H12" s="18">
        <f>IF(Mark!$B$36=0,0,I12/Mark!$B$36)</f>
        <v>0</v>
      </c>
      <c r="I12" s="19">
        <f>Gødning!N31</f>
        <v>0</v>
      </c>
      <c r="J12" s="45"/>
    </row>
    <row r="13" spans="1:10" ht="12.75">
      <c r="A13" s="26"/>
      <c r="B13" s="22"/>
      <c r="C13" s="18"/>
      <c r="D13" s="19"/>
      <c r="E13" s="105"/>
      <c r="F13" s="45"/>
      <c r="G13" s="22" t="s">
        <v>116</v>
      </c>
      <c r="H13" s="18">
        <f>IF(Mark!$B$36=0,0,I13/Mark!$B$36)</f>
        <v>0</v>
      </c>
      <c r="I13" s="19">
        <f>Gødning!B29*Gødning!L29</f>
        <v>0</v>
      </c>
      <c r="J13" s="45"/>
    </row>
    <row r="14" spans="1:10" ht="12.75">
      <c r="A14" s="26"/>
      <c r="B14" s="22"/>
      <c r="C14" s="18">
        <f>IF(Mark!$B$13=0,0,D14/Mark!$B$13)</f>
        <v>0</v>
      </c>
      <c r="D14" s="14"/>
      <c r="E14" s="29"/>
      <c r="F14" s="45"/>
      <c r="G14" s="22" t="s">
        <v>71</v>
      </c>
      <c r="H14" s="18">
        <f>IF(Mark!$B$36=0,0,I14/Mark!$B$36)</f>
        <v>0</v>
      </c>
      <c r="I14" s="19">
        <f>Biogasgødning!O22</f>
        <v>0</v>
      </c>
      <c r="J14" s="45"/>
    </row>
    <row r="15" spans="1:10" ht="12.75">
      <c r="A15" s="26"/>
      <c r="B15" s="15" t="s">
        <v>30</v>
      </c>
      <c r="C15" s="20">
        <f>SUM(C10:C14)</f>
        <v>0</v>
      </c>
      <c r="D15" s="21">
        <f>SUM(D10:D14)</f>
        <v>0</v>
      </c>
      <c r="E15" s="106"/>
      <c r="F15" s="45"/>
      <c r="G15" s="15" t="s">
        <v>30</v>
      </c>
      <c r="H15" s="20">
        <f>SUM(H10:H14)</f>
        <v>0</v>
      </c>
      <c r="I15" s="21">
        <f>SUM(I10:I14)</f>
        <v>0</v>
      </c>
      <c r="J15" s="45"/>
    </row>
    <row r="16" spans="1:10" ht="12.75">
      <c r="A16" s="26"/>
      <c r="B16" s="13"/>
      <c r="C16" s="6"/>
      <c r="D16" s="14"/>
      <c r="E16" s="29"/>
      <c r="F16" s="45"/>
      <c r="G16" s="13"/>
      <c r="H16" s="18"/>
      <c r="I16" s="14"/>
      <c r="J16" s="45"/>
    </row>
    <row r="17" spans="1:10" ht="12.75">
      <c r="A17" s="26"/>
      <c r="B17" s="15" t="s">
        <v>50</v>
      </c>
      <c r="C17" s="6"/>
      <c r="D17" s="14"/>
      <c r="E17" s="29"/>
      <c r="F17" s="45"/>
      <c r="G17" s="15" t="s">
        <v>50</v>
      </c>
      <c r="H17" s="18"/>
      <c r="I17" s="14"/>
      <c r="J17" s="45"/>
    </row>
    <row r="18" spans="1:10" ht="12.75">
      <c r="A18" s="26"/>
      <c r="B18" s="22" t="s">
        <v>72</v>
      </c>
      <c r="C18" s="18">
        <f>IF(Mark!$B$13=0,0,D18/Mark!$B$13)</f>
        <v>0</v>
      </c>
      <c r="D18" s="19">
        <f>(SUMPRODUCT(Mark!B7:B12,Forudsætninger!P7:P12))+(Mark!B16*Forudsætninger!P16)+(Mark!B17*Forudsætninger!P17)</f>
        <v>0</v>
      </c>
      <c r="E18" s="105"/>
      <c r="F18" s="45"/>
      <c r="G18" s="22" t="s">
        <v>72</v>
      </c>
      <c r="H18" s="18">
        <f>IF(Mark!$B$36=0,0,I18/Mark!$B$36)</f>
        <v>0</v>
      </c>
      <c r="I18" s="19">
        <f>(SUMPRODUCT(Forudsætninger!P27:P34,Mark!B28:B35))+(SUMPRODUCT(Forudsætninger!P37:P40,Mark!B39:B42))</f>
        <v>0</v>
      </c>
      <c r="J18" s="45"/>
    </row>
    <row r="19" spans="1:10" ht="12.75">
      <c r="A19" s="26"/>
      <c r="B19" s="15" t="s">
        <v>30</v>
      </c>
      <c r="C19" s="20">
        <f>SUM(C18)</f>
        <v>0</v>
      </c>
      <c r="D19" s="21">
        <f>SUM(D18)</f>
        <v>0</v>
      </c>
      <c r="E19" s="106"/>
      <c r="F19" s="45"/>
      <c r="G19" s="15" t="s">
        <v>30</v>
      </c>
      <c r="H19" s="20">
        <f>SUM(H18:H18)</f>
        <v>0</v>
      </c>
      <c r="I19" s="21">
        <f>SUM(I18:I18)</f>
        <v>0</v>
      </c>
      <c r="J19" s="45"/>
    </row>
    <row r="20" spans="1:10" ht="12.75">
      <c r="A20" s="26"/>
      <c r="B20" s="13"/>
      <c r="C20" s="6"/>
      <c r="D20" s="14"/>
      <c r="E20" s="29"/>
      <c r="F20" s="45"/>
      <c r="G20" s="13"/>
      <c r="H20" s="18"/>
      <c r="I20" s="14"/>
      <c r="J20" s="45"/>
    </row>
    <row r="21" spans="1:10" ht="12.75">
      <c r="A21" s="26"/>
      <c r="B21" s="23" t="s">
        <v>51</v>
      </c>
      <c r="C21" s="24">
        <f>C7-C15-C19</f>
        <v>0</v>
      </c>
      <c r="D21" s="25">
        <f>D7-D15-D19</f>
        <v>0</v>
      </c>
      <c r="E21" s="106"/>
      <c r="F21" s="45"/>
      <c r="G21" s="15" t="s">
        <v>51</v>
      </c>
      <c r="H21" s="18">
        <f>IF(Mark!B36=0,0,I21/Mark!B36)</f>
        <v>0</v>
      </c>
      <c r="I21" s="21">
        <f>I7-I15-I19</f>
        <v>0</v>
      </c>
      <c r="J21" s="45"/>
    </row>
    <row r="22" spans="1:10" ht="12.75">
      <c r="A22" s="26"/>
      <c r="B22" s="26"/>
      <c r="C22" s="26"/>
      <c r="D22" s="26"/>
      <c r="E22" s="26"/>
      <c r="F22" s="45"/>
      <c r="G22" s="13"/>
      <c r="H22" s="18"/>
      <c r="I22" s="14"/>
      <c r="J22" s="45"/>
    </row>
    <row r="23" spans="1:10" ht="12.75">
      <c r="A23" s="26"/>
      <c r="B23" s="26"/>
      <c r="C23" s="26"/>
      <c r="D23" s="26"/>
      <c r="E23" s="26"/>
      <c r="F23" s="45"/>
      <c r="G23" s="30" t="s">
        <v>57</v>
      </c>
      <c r="H23" s="18">
        <f>IF(Mark!B36=0,0,I23/Mark!B36)</f>
        <v>0</v>
      </c>
      <c r="I23" s="19">
        <f>Investeringer!D12</f>
        <v>0</v>
      </c>
      <c r="J23" s="45"/>
    </row>
    <row r="24" spans="1:10" ht="12.75">
      <c r="A24" s="26"/>
      <c r="B24" s="26"/>
      <c r="C24" s="26"/>
      <c r="D24" s="26"/>
      <c r="E24" s="26"/>
      <c r="F24" s="45"/>
      <c r="G24" s="13"/>
      <c r="H24" s="18"/>
      <c r="I24" s="14"/>
      <c r="J24" s="45"/>
    </row>
    <row r="25" spans="1:10" ht="12.75">
      <c r="A25" s="26"/>
      <c r="B25" s="26"/>
      <c r="C25" s="26"/>
      <c r="D25" s="26"/>
      <c r="E25" s="26"/>
      <c r="F25" s="45"/>
      <c r="G25" s="23" t="s">
        <v>56</v>
      </c>
      <c r="H25" s="141">
        <f>IF(Mark!B36=0,0,I25/Mark!B36)</f>
        <v>0</v>
      </c>
      <c r="I25" s="25">
        <f>I21-I23</f>
        <v>0</v>
      </c>
      <c r="J25" s="45"/>
    </row>
    <row r="26" spans="1:10" ht="12.75">
      <c r="A26" s="26"/>
      <c r="B26" s="26"/>
      <c r="C26" s="26"/>
      <c r="D26" s="26"/>
      <c r="E26" s="26"/>
      <c r="F26" s="45"/>
      <c r="G26" s="45"/>
      <c r="H26" s="45"/>
      <c r="I26" s="45"/>
      <c r="J26" s="45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3"/>
  <headerFooter alignWithMargins="0">
    <oddHeader>&amp;C&amp;16&amp;A</oddHeader>
    <oddFooter>&amp;C&amp;F 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5"/>
  <sheetViews>
    <sheetView showGridLines="0" showZeros="0" zoomScale="80" zoomScaleNormal="80" workbookViewId="0" topLeftCell="A1">
      <selection activeCell="V21" sqref="V21"/>
    </sheetView>
  </sheetViews>
  <sheetFormatPr defaultColWidth="9.140625" defaultRowHeight="12.75"/>
  <cols>
    <col min="1" max="1" width="23.00390625" style="0" customWidth="1"/>
    <col min="2" max="2" width="8.8515625" style="0" customWidth="1"/>
    <col min="3" max="3" width="7.8515625" style="0" customWidth="1"/>
    <col min="4" max="4" width="12.57421875" style="1" customWidth="1"/>
    <col min="5" max="5" width="5.140625" style="1" customWidth="1"/>
    <col min="6" max="6" width="5.8515625" style="1" customWidth="1"/>
    <col min="7" max="7" width="6.00390625" style="1" customWidth="1"/>
    <col min="8" max="8" width="10.28125" style="1" customWidth="1"/>
    <col min="9" max="9" width="2.8515625" style="1" customWidth="1"/>
    <col min="10" max="10" width="6.421875" style="1" customWidth="1"/>
    <col min="11" max="11" width="6.8515625" style="1" customWidth="1"/>
    <col min="12" max="12" width="12.28125" style="1" customWidth="1"/>
    <col min="13" max="13" width="9.00390625" style="1" customWidth="1"/>
    <col min="14" max="14" width="10.140625" style="1" customWidth="1"/>
    <col min="15" max="17" width="4.28125" style="1" customWidth="1"/>
    <col min="19" max="19" width="6.00390625" style="0" customWidth="1"/>
    <col min="20" max="20" width="7.8515625" style="0" customWidth="1"/>
    <col min="21" max="21" width="4.8515625" style="0" customWidth="1"/>
    <col min="22" max="22" width="9.140625" style="1" customWidth="1"/>
  </cols>
  <sheetData>
    <row r="1" spans="1:22" s="6" customFormat="1" ht="8.25" customHeight="1" thickBot="1">
      <c r="A1" s="27"/>
      <c r="B1" s="27"/>
      <c r="C1" s="27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27"/>
      <c r="S1" s="27"/>
      <c r="T1" s="27"/>
      <c r="U1" s="27"/>
      <c r="V1" s="2"/>
    </row>
    <row r="2" spans="1:21" s="200" customFormat="1" ht="15.75">
      <c r="A2" s="199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12.75">
      <c r="A3" s="26"/>
      <c r="B3" s="26"/>
      <c r="C3" s="26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26"/>
      <c r="S3" s="26"/>
      <c r="T3" s="26"/>
      <c r="U3" s="26"/>
    </row>
    <row r="4" spans="1:21" ht="12.75">
      <c r="A4" s="26"/>
      <c r="B4" s="26"/>
      <c r="C4" s="26"/>
      <c r="D4" s="40" t="s">
        <v>9</v>
      </c>
      <c r="E4" s="40"/>
      <c r="F4" s="40" t="s">
        <v>9</v>
      </c>
      <c r="G4" s="40"/>
      <c r="H4" s="40" t="s">
        <v>14</v>
      </c>
      <c r="I4" s="40"/>
      <c r="J4" s="40"/>
      <c r="K4" s="40"/>
      <c r="L4" s="40" t="s">
        <v>14</v>
      </c>
      <c r="M4" s="40"/>
      <c r="N4" s="40"/>
      <c r="O4" s="40"/>
      <c r="P4" s="40"/>
      <c r="Q4" s="40"/>
      <c r="R4" s="26"/>
      <c r="S4" s="26"/>
      <c r="T4" s="26"/>
      <c r="U4" s="26"/>
    </row>
    <row r="5" spans="1:21" ht="12.75">
      <c r="A5" s="26"/>
      <c r="B5" s="26"/>
      <c r="C5" s="26"/>
      <c r="D5" s="40" t="s">
        <v>10</v>
      </c>
      <c r="E5" s="40"/>
      <c r="F5" s="40" t="s">
        <v>11</v>
      </c>
      <c r="G5" s="40"/>
      <c r="H5" s="40" t="s">
        <v>15</v>
      </c>
      <c r="I5" s="40"/>
      <c r="J5" s="40"/>
      <c r="K5" s="40"/>
      <c r="L5" s="40" t="s">
        <v>20</v>
      </c>
      <c r="M5" s="40"/>
      <c r="N5" s="40" t="s">
        <v>7</v>
      </c>
      <c r="O5" s="40"/>
      <c r="P5" s="40" t="s">
        <v>5</v>
      </c>
      <c r="Q5" s="40"/>
      <c r="R5" s="26" t="s">
        <v>44</v>
      </c>
      <c r="S5" s="26"/>
      <c r="T5" s="40" t="s">
        <v>94</v>
      </c>
      <c r="U5" s="26"/>
    </row>
    <row r="6" spans="1:21" ht="12.75">
      <c r="A6" s="44" t="s">
        <v>109</v>
      </c>
      <c r="B6" s="65" t="s">
        <v>73</v>
      </c>
      <c r="C6" s="40" t="s">
        <v>31</v>
      </c>
      <c r="D6" s="40" t="s">
        <v>4</v>
      </c>
      <c r="E6" s="40"/>
      <c r="F6" s="40" t="s">
        <v>12</v>
      </c>
      <c r="G6" s="40"/>
      <c r="H6" s="40" t="s">
        <v>16</v>
      </c>
      <c r="I6" s="40"/>
      <c r="J6" s="40" t="s">
        <v>13</v>
      </c>
      <c r="K6" s="40"/>
      <c r="L6" s="40" t="s">
        <v>24</v>
      </c>
      <c r="M6" s="40" t="s">
        <v>33</v>
      </c>
      <c r="N6" s="40" t="s">
        <v>13</v>
      </c>
      <c r="O6" s="40"/>
      <c r="P6" s="40" t="s">
        <v>4</v>
      </c>
      <c r="Q6" s="40"/>
      <c r="R6" s="40" t="s">
        <v>25</v>
      </c>
      <c r="S6" s="26"/>
      <c r="T6" s="40" t="s">
        <v>74</v>
      </c>
      <c r="U6" s="26"/>
    </row>
    <row r="7" spans="1:22" ht="12.75">
      <c r="A7" s="26" t="s">
        <v>28</v>
      </c>
      <c r="B7" s="122"/>
      <c r="C7" s="82">
        <f aca="true" t="shared" si="0" ref="C7:C13">IF($B$13=0,0,B7/$B$13)</f>
        <v>0</v>
      </c>
      <c r="D7" s="124">
        <v>30</v>
      </c>
      <c r="E7" s="40"/>
      <c r="F7" s="83">
        <f aca="true" t="shared" si="1" ref="F7:F12">B7*D7</f>
        <v>0</v>
      </c>
      <c r="G7" s="40"/>
      <c r="H7" s="124"/>
      <c r="I7" s="40"/>
      <c r="J7" s="69"/>
      <c r="K7" s="40"/>
      <c r="L7" s="124"/>
      <c r="M7" s="83">
        <f>(B7*Forudsætninger!J7)-(Mark!J7*Mark!B7)</f>
        <v>0</v>
      </c>
      <c r="N7" s="85">
        <f aca="true" t="shared" si="2" ref="N7:N12">IF(B7=0,0,L7/B7)</f>
        <v>0</v>
      </c>
      <c r="O7" s="40"/>
      <c r="P7" s="83">
        <f aca="true" t="shared" si="3" ref="P7:P12">J7+N7</f>
        <v>0</v>
      </c>
      <c r="Q7" s="40"/>
      <c r="R7" s="85">
        <f>Forudsætninger!H7+(Forudsætninger!D7*Mark!P7)</f>
        <v>400</v>
      </c>
      <c r="S7" s="26" t="s">
        <v>3</v>
      </c>
      <c r="T7" s="157">
        <f>R7*Forudsætninger!B7</f>
        <v>4800</v>
      </c>
      <c r="U7" s="26"/>
      <c r="V7" s="3"/>
    </row>
    <row r="8" spans="1:22" ht="12.75">
      <c r="A8" s="26" t="s">
        <v>1</v>
      </c>
      <c r="B8" s="122"/>
      <c r="C8" s="82">
        <f t="shared" si="0"/>
        <v>0</v>
      </c>
      <c r="D8" s="124">
        <v>0</v>
      </c>
      <c r="E8" s="40"/>
      <c r="F8" s="83">
        <f t="shared" si="1"/>
        <v>0</v>
      </c>
      <c r="G8" s="40"/>
      <c r="H8" s="124"/>
      <c r="I8" s="40"/>
      <c r="J8" s="85">
        <f>IF(B8=0,0,H8/B8)</f>
        <v>0</v>
      </c>
      <c r="K8" s="40"/>
      <c r="L8" s="124"/>
      <c r="M8" s="83">
        <f>(B8*Forudsætninger!J8)-(Mark!J8*Mark!B8)</f>
        <v>0</v>
      </c>
      <c r="N8" s="85">
        <f t="shared" si="2"/>
        <v>0</v>
      </c>
      <c r="O8" s="40"/>
      <c r="P8" s="83">
        <f t="shared" si="3"/>
        <v>0</v>
      </c>
      <c r="Q8" s="40"/>
      <c r="R8" s="85">
        <f>Forudsætninger!H8+(Forudsætninger!D8*Mark!P8)</f>
        <v>3000</v>
      </c>
      <c r="S8" s="26" t="s">
        <v>3</v>
      </c>
      <c r="T8" s="157">
        <f>R8*Forudsætninger!B8</f>
        <v>4500</v>
      </c>
      <c r="U8" s="26"/>
      <c r="V8" s="3"/>
    </row>
    <row r="9" spans="1:22" ht="12.75">
      <c r="A9" s="26" t="s">
        <v>2</v>
      </c>
      <c r="B9" s="122">
        <v>0</v>
      </c>
      <c r="C9" s="82">
        <f t="shared" si="0"/>
        <v>0</v>
      </c>
      <c r="D9" s="124">
        <v>100</v>
      </c>
      <c r="E9" s="40"/>
      <c r="F9" s="83">
        <f t="shared" si="1"/>
        <v>0</v>
      </c>
      <c r="G9" s="40"/>
      <c r="H9" s="124"/>
      <c r="I9" s="40"/>
      <c r="J9" s="69"/>
      <c r="K9" s="40"/>
      <c r="L9" s="124"/>
      <c r="M9" s="83">
        <f>(B9*Forudsætninger!J9)-(Mark!J9*Mark!B9)</f>
        <v>0</v>
      </c>
      <c r="N9" s="85">
        <f t="shared" si="2"/>
        <v>0</v>
      </c>
      <c r="O9" s="40"/>
      <c r="P9" s="83">
        <f t="shared" si="3"/>
        <v>0</v>
      </c>
      <c r="Q9" s="40"/>
      <c r="R9" s="85">
        <f>Forudsætninger!H9+(Forudsætninger!D9*Mark!P9)</f>
        <v>5000</v>
      </c>
      <c r="S9" s="26" t="s">
        <v>27</v>
      </c>
      <c r="T9" s="157">
        <f>R9*Forudsætninger!B9</f>
        <v>3250</v>
      </c>
      <c r="U9" s="26"/>
      <c r="V9" s="3"/>
    </row>
    <row r="10" spans="1:22" ht="12.75">
      <c r="A10" s="26" t="s">
        <v>29</v>
      </c>
      <c r="B10" s="122"/>
      <c r="C10" s="82">
        <f t="shared" si="0"/>
        <v>0</v>
      </c>
      <c r="D10" s="124"/>
      <c r="E10" s="40"/>
      <c r="F10" s="83">
        <f t="shared" si="1"/>
        <v>0</v>
      </c>
      <c r="G10" s="40"/>
      <c r="H10" s="124"/>
      <c r="I10" s="40"/>
      <c r="J10" s="69"/>
      <c r="K10" s="40"/>
      <c r="L10" s="124"/>
      <c r="M10" s="83">
        <f>(B10*Forudsætninger!J10)-(Mark!J10*Mark!B10)</f>
        <v>0</v>
      </c>
      <c r="N10" s="85">
        <f t="shared" si="2"/>
        <v>0</v>
      </c>
      <c r="O10" s="40"/>
      <c r="P10" s="83">
        <f t="shared" si="3"/>
        <v>0</v>
      </c>
      <c r="Q10" s="40"/>
      <c r="R10" s="85">
        <f>Forudsætninger!H10+(Forudsætninger!D10*Mark!P10)</f>
        <v>2000</v>
      </c>
      <c r="S10" s="26" t="s">
        <v>27</v>
      </c>
      <c r="T10" s="157">
        <f>R10*Forudsætninger!B10</f>
        <v>1300</v>
      </c>
      <c r="U10" s="26"/>
      <c r="V10" s="3"/>
    </row>
    <row r="11" spans="1:22" ht="12.75">
      <c r="A11" s="26" t="s">
        <v>6</v>
      </c>
      <c r="B11" s="123"/>
      <c r="C11" s="82">
        <f t="shared" si="0"/>
        <v>0</v>
      </c>
      <c r="D11" s="124">
        <v>30</v>
      </c>
      <c r="E11" s="40"/>
      <c r="F11" s="83">
        <f t="shared" si="1"/>
        <v>0</v>
      </c>
      <c r="G11" s="40"/>
      <c r="H11" s="124"/>
      <c r="I11" s="40"/>
      <c r="J11" s="69"/>
      <c r="K11" s="40"/>
      <c r="L11" s="124"/>
      <c r="M11" s="83">
        <f>(B11*Forudsætninger!J11)-(Mark!J11*Mark!B11)</f>
        <v>0</v>
      </c>
      <c r="N11" s="85">
        <f t="shared" si="2"/>
        <v>0</v>
      </c>
      <c r="O11" s="40"/>
      <c r="P11" s="83">
        <f t="shared" si="3"/>
        <v>0</v>
      </c>
      <c r="Q11" s="40"/>
      <c r="R11" s="85">
        <f>Forudsætninger!H11+(Forudsætninger!D11*Mark!P11)</f>
        <v>3000</v>
      </c>
      <c r="S11" s="26" t="s">
        <v>3</v>
      </c>
      <c r="T11" s="157">
        <f>R11*Forudsætninger!B11</f>
        <v>6000</v>
      </c>
      <c r="U11" s="26"/>
      <c r="V11" s="3"/>
    </row>
    <row r="12" spans="1:22" ht="12.75">
      <c r="A12" s="29">
        <f>Forudsætninger!A12</f>
        <v>0</v>
      </c>
      <c r="B12" s="122"/>
      <c r="C12" s="82">
        <f t="shared" si="0"/>
        <v>0</v>
      </c>
      <c r="D12" s="124"/>
      <c r="E12" s="40"/>
      <c r="F12" s="83">
        <f t="shared" si="1"/>
        <v>0</v>
      </c>
      <c r="G12" s="40"/>
      <c r="H12" s="124"/>
      <c r="I12" s="40"/>
      <c r="J12" s="85">
        <f>IF(B12=0,0,H12/B12)</f>
        <v>0</v>
      </c>
      <c r="K12" s="40"/>
      <c r="L12" s="124"/>
      <c r="M12" s="83">
        <f>(B12*Forudsætninger!J12)-(Mark!J12*Mark!B12)</f>
        <v>0</v>
      </c>
      <c r="N12" s="85">
        <f t="shared" si="2"/>
        <v>0</v>
      </c>
      <c r="O12" s="40"/>
      <c r="P12" s="83">
        <f t="shared" si="3"/>
        <v>0</v>
      </c>
      <c r="Q12" s="40"/>
      <c r="R12" s="85">
        <f>Forudsætninger!H12+(Forudsætninger!D12*Mark!P12)</f>
        <v>0</v>
      </c>
      <c r="S12" s="26">
        <f>Forudsætninger!C12</f>
        <v>0</v>
      </c>
      <c r="T12" s="157">
        <f>R12*Forudsætninger!B12</f>
        <v>0</v>
      </c>
      <c r="U12" s="26"/>
      <c r="V12" s="3"/>
    </row>
    <row r="13" spans="1:22" ht="12.75">
      <c r="A13" s="44" t="s">
        <v>30</v>
      </c>
      <c r="B13" s="80">
        <f>SUM(B7:B12)</f>
        <v>0</v>
      </c>
      <c r="C13" s="81">
        <f t="shared" si="0"/>
        <v>0</v>
      </c>
      <c r="D13" s="40"/>
      <c r="E13" s="40"/>
      <c r="F13" s="40"/>
      <c r="G13" s="40"/>
      <c r="H13" s="83">
        <f>SUM(H7:H12)</f>
        <v>0</v>
      </c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26"/>
      <c r="T13" s="40"/>
      <c r="U13" s="26"/>
      <c r="V13" s="4"/>
    </row>
    <row r="14" spans="1:22" ht="12.75">
      <c r="A14" s="44"/>
      <c r="B14" s="177"/>
      <c r="C14" s="178"/>
      <c r="D14" s="40"/>
      <c r="E14" s="40"/>
      <c r="F14" s="40"/>
      <c r="G14" s="86">
        <f>IF(H14=0,0,"Tilbage")</f>
        <v>0</v>
      </c>
      <c r="H14" s="40">
        <f>F19-H13</f>
        <v>0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26"/>
      <c r="T14" s="40"/>
      <c r="U14" s="26"/>
      <c r="V14" s="4"/>
    </row>
    <row r="15" spans="1:21" ht="12.75">
      <c r="A15" s="44" t="s">
        <v>110</v>
      </c>
      <c r="B15" s="26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26"/>
      <c r="T15" s="40"/>
      <c r="U15" s="26"/>
    </row>
    <row r="16" spans="1:21" ht="12.75">
      <c r="A16" s="26" t="str">
        <f>Forudsætninger!A16</f>
        <v>Efterafgrøde 1</v>
      </c>
      <c r="B16" s="122"/>
      <c r="C16" s="82">
        <f>IF($B$13=0,0,B16/$B$13)</f>
        <v>0</v>
      </c>
      <c r="D16" s="124"/>
      <c r="E16" s="40"/>
      <c r="F16" s="83">
        <f>B16*D16</f>
        <v>0</v>
      </c>
      <c r="G16" s="40"/>
      <c r="H16" s="40"/>
      <c r="I16" s="40"/>
      <c r="J16" s="40"/>
      <c r="K16" s="93">
        <f>Gødning!J12</f>
        <v>0</v>
      </c>
      <c r="L16" s="125"/>
      <c r="M16" s="83">
        <f>(B16*Forudsætninger!J16)</f>
        <v>0</v>
      </c>
      <c r="N16" s="85">
        <f>IF(B16=0,0,L16/B16)</f>
        <v>0</v>
      </c>
      <c r="O16" s="40"/>
      <c r="P16" s="83">
        <f>J16+N16</f>
        <v>0</v>
      </c>
      <c r="Q16" s="40"/>
      <c r="R16" s="85">
        <f>Forudsætninger!H16+(Forudsætninger!D16*Mark!P16)</f>
        <v>0</v>
      </c>
      <c r="S16" s="26">
        <f>Forudsætninger!C16</f>
        <v>0</v>
      </c>
      <c r="T16" s="157">
        <f>R16*Forudsætninger!B16</f>
        <v>0</v>
      </c>
      <c r="U16" s="26"/>
    </row>
    <row r="17" spans="1:21" ht="12.75">
      <c r="A17" s="26" t="str">
        <f>Forudsætninger!A17</f>
        <v>Efterafgrøde 2</v>
      </c>
      <c r="B17" s="122"/>
      <c r="C17" s="82">
        <f>IF($B$13=0,0,B17/$B$13)</f>
        <v>0</v>
      </c>
      <c r="D17" s="124"/>
      <c r="E17" s="40"/>
      <c r="F17" s="83">
        <f>B17*D17</f>
        <v>0</v>
      </c>
      <c r="G17" s="40"/>
      <c r="H17" s="40"/>
      <c r="I17" s="40"/>
      <c r="J17" s="40"/>
      <c r="K17" s="93"/>
      <c r="L17" s="124"/>
      <c r="M17" s="83">
        <f>(B17*Forudsætninger!J17)</f>
        <v>0</v>
      </c>
      <c r="N17" s="85">
        <f>IF(B17=0,0,L17/B17)</f>
        <v>0</v>
      </c>
      <c r="O17" s="40"/>
      <c r="P17" s="83">
        <f>J17+N17</f>
        <v>0</v>
      </c>
      <c r="Q17" s="40"/>
      <c r="R17" s="85">
        <f>Forudsætninger!H17+(Forudsætninger!D17*Mark!P17)</f>
        <v>0</v>
      </c>
      <c r="S17" s="26">
        <f>Forudsætninger!C17</f>
        <v>0</v>
      </c>
      <c r="T17" s="157">
        <f>R17*Forudsætninger!B17</f>
        <v>0</v>
      </c>
      <c r="U17" s="26"/>
    </row>
    <row r="18" spans="1:21" ht="12.75">
      <c r="A18" s="183"/>
      <c r="B18" s="184"/>
      <c r="C18" s="185"/>
      <c r="D18" s="181"/>
      <c r="E18" s="186"/>
      <c r="F18" s="181"/>
      <c r="G18" s="40"/>
      <c r="H18" s="40"/>
      <c r="I18" s="40"/>
      <c r="J18" s="40"/>
      <c r="K18" s="180"/>
      <c r="L18" s="181"/>
      <c r="M18" s="181"/>
      <c r="N18" s="182"/>
      <c r="O18" s="40"/>
      <c r="P18" s="40"/>
      <c r="Q18" s="40"/>
      <c r="R18" s="89"/>
      <c r="S18" s="26"/>
      <c r="T18" s="179"/>
      <c r="U18" s="26"/>
    </row>
    <row r="19" spans="1:21" ht="12.75">
      <c r="A19" s="44" t="s">
        <v>11</v>
      </c>
      <c r="B19" s="26"/>
      <c r="C19" s="26"/>
      <c r="D19" s="40"/>
      <c r="E19" s="40"/>
      <c r="F19" s="84">
        <f>SUM(F7:F17)</f>
        <v>0</v>
      </c>
      <c r="G19" s="40"/>
      <c r="H19" s="40"/>
      <c r="I19" s="40"/>
      <c r="J19" s="66"/>
      <c r="K19" s="40"/>
      <c r="L19" s="84">
        <f>SUM(L7:L12)+L16+L17</f>
        <v>0</v>
      </c>
      <c r="M19" s="84">
        <f>SUM(M7:M12)</f>
        <v>0</v>
      </c>
      <c r="N19" s="40"/>
      <c r="O19" s="40"/>
      <c r="P19" s="40"/>
      <c r="Q19" s="40"/>
      <c r="R19" s="40"/>
      <c r="S19" s="26"/>
      <c r="T19" s="40"/>
      <c r="U19" s="26"/>
    </row>
    <row r="20" spans="1:22" s="6" customFormat="1" ht="12.75">
      <c r="A20" s="29"/>
      <c r="B20" s="29"/>
      <c r="C20" s="29"/>
      <c r="D20" s="69"/>
      <c r="E20" s="69"/>
      <c r="F20" s="69"/>
      <c r="G20" s="87"/>
      <c r="H20" s="87"/>
      <c r="I20" s="69"/>
      <c r="J20" s="88"/>
      <c r="K20" s="69">
        <f>IF(L20=0,0,"Tilbage")</f>
        <v>0</v>
      </c>
      <c r="L20" s="89">
        <f>Gødning!J12-L19</f>
        <v>0</v>
      </c>
      <c r="M20" s="69"/>
      <c r="N20" s="69"/>
      <c r="O20" s="69"/>
      <c r="P20" s="69"/>
      <c r="Q20" s="69"/>
      <c r="R20" s="69"/>
      <c r="S20" s="29"/>
      <c r="T20" s="69"/>
      <c r="U20" s="29"/>
      <c r="V20" s="2"/>
    </row>
    <row r="21" spans="1:22" s="6" customFormat="1" ht="13.5" thickBot="1">
      <c r="A21" s="28"/>
      <c r="B21" s="28"/>
      <c r="C21" s="28"/>
      <c r="D21" s="67"/>
      <c r="E21" s="67"/>
      <c r="F21" s="67"/>
      <c r="G21" s="90"/>
      <c r="H21" s="90"/>
      <c r="I21" s="67"/>
      <c r="J21" s="91"/>
      <c r="K21" s="67"/>
      <c r="L21" s="92"/>
      <c r="M21" s="67"/>
      <c r="N21" s="67"/>
      <c r="O21" s="67"/>
      <c r="P21" s="67"/>
      <c r="Q21" s="67"/>
      <c r="R21" s="67"/>
      <c r="S21" s="28"/>
      <c r="T21" s="67"/>
      <c r="U21" s="28"/>
      <c r="V21" s="2"/>
    </row>
    <row r="22" spans="1:21" s="7" customFormat="1" ht="5.25" customHeight="1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50"/>
      <c r="P22" s="50"/>
      <c r="Q22" s="50"/>
      <c r="R22" s="50"/>
      <c r="S22" s="94"/>
      <c r="T22" s="94"/>
      <c r="U22" s="94"/>
    </row>
    <row r="23" spans="1:21" s="8" customFormat="1" ht="15.75">
      <c r="A23" s="95" t="s">
        <v>114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</row>
    <row r="24" spans="1:21" ht="12.75">
      <c r="A24" s="45"/>
      <c r="B24" s="45"/>
      <c r="C24" s="45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5"/>
      <c r="T24" s="49"/>
      <c r="U24" s="45"/>
    </row>
    <row r="25" spans="1:21" ht="12.75">
      <c r="A25" s="45"/>
      <c r="B25" s="45"/>
      <c r="C25" s="45"/>
      <c r="D25" s="49" t="s">
        <v>9</v>
      </c>
      <c r="E25" s="49"/>
      <c r="F25" s="49" t="s">
        <v>9</v>
      </c>
      <c r="G25" s="49"/>
      <c r="H25" s="49" t="s">
        <v>14</v>
      </c>
      <c r="I25" s="49"/>
      <c r="J25" s="49"/>
      <c r="K25" s="49"/>
      <c r="L25" s="49" t="s">
        <v>14</v>
      </c>
      <c r="M25" s="49"/>
      <c r="N25" s="49"/>
      <c r="O25" s="49"/>
      <c r="P25" s="49"/>
      <c r="Q25" s="49"/>
      <c r="R25" s="49"/>
      <c r="S25" s="45"/>
      <c r="T25" s="49"/>
      <c r="U25" s="45"/>
    </row>
    <row r="26" spans="1:21" ht="12.75">
      <c r="A26" s="45"/>
      <c r="B26" s="45"/>
      <c r="C26" s="45"/>
      <c r="D26" s="49" t="s">
        <v>10</v>
      </c>
      <c r="E26" s="49"/>
      <c r="F26" s="49" t="s">
        <v>11</v>
      </c>
      <c r="G26" s="49"/>
      <c r="H26" s="49" t="s">
        <v>15</v>
      </c>
      <c r="I26" s="49"/>
      <c r="J26" s="49"/>
      <c r="K26" s="49"/>
      <c r="L26" s="49" t="s">
        <v>20</v>
      </c>
      <c r="M26" s="49"/>
      <c r="N26" s="49" t="s">
        <v>7</v>
      </c>
      <c r="O26" s="49"/>
      <c r="P26" s="49" t="s">
        <v>5</v>
      </c>
      <c r="Q26" s="49"/>
      <c r="R26" s="49" t="s">
        <v>44</v>
      </c>
      <c r="S26" s="45"/>
      <c r="T26" s="49" t="s">
        <v>94</v>
      </c>
      <c r="U26" s="45"/>
    </row>
    <row r="27" spans="1:21" ht="12.75">
      <c r="A27" s="48" t="s">
        <v>109</v>
      </c>
      <c r="B27" s="61" t="s">
        <v>73</v>
      </c>
      <c r="C27" s="49" t="s">
        <v>31</v>
      </c>
      <c r="D27" s="49" t="s">
        <v>4</v>
      </c>
      <c r="E27" s="49"/>
      <c r="F27" s="49" t="s">
        <v>12</v>
      </c>
      <c r="G27" s="49"/>
      <c r="H27" s="49" t="s">
        <v>16</v>
      </c>
      <c r="I27" s="49"/>
      <c r="J27" s="49" t="s">
        <v>13</v>
      </c>
      <c r="K27" s="49"/>
      <c r="L27" s="49" t="s">
        <v>24</v>
      </c>
      <c r="M27" s="49" t="s">
        <v>33</v>
      </c>
      <c r="N27" s="49" t="s">
        <v>13</v>
      </c>
      <c r="O27" s="49"/>
      <c r="P27" s="49" t="s">
        <v>4</v>
      </c>
      <c r="Q27" s="49"/>
      <c r="R27" s="49" t="s">
        <v>25</v>
      </c>
      <c r="S27" s="45"/>
      <c r="T27" s="49" t="s">
        <v>74</v>
      </c>
      <c r="U27" s="45"/>
    </row>
    <row r="28" spans="1:21" ht="12.75">
      <c r="A28" s="45" t="s">
        <v>28</v>
      </c>
      <c r="B28" s="126"/>
      <c r="C28" s="82">
        <f>IF($B$36=0,0,B28/$B$36)</f>
        <v>0</v>
      </c>
      <c r="D28" s="138">
        <f>D7</f>
        <v>30</v>
      </c>
      <c r="E28" s="49"/>
      <c r="F28" s="83">
        <f aca="true" t="shared" si="4" ref="F28:F35">B28*D28</f>
        <v>0</v>
      </c>
      <c r="G28" s="49"/>
      <c r="H28" s="124"/>
      <c r="I28" s="49"/>
      <c r="J28" s="53"/>
      <c r="K28" s="53"/>
      <c r="L28" s="124"/>
      <c r="M28" s="72">
        <f>(B28*Forudsætninger!J27)-(Mark!J28*Mark!B28)</f>
        <v>0</v>
      </c>
      <c r="N28" s="85">
        <f>IF(B28=0,0,L28/B28)</f>
        <v>0</v>
      </c>
      <c r="O28" s="49"/>
      <c r="P28" s="83">
        <f aca="true" t="shared" si="5" ref="P28:P35">J28+N28</f>
        <v>0</v>
      </c>
      <c r="Q28" s="49"/>
      <c r="R28" s="9">
        <f>Forudsætninger!H27+(Forudsætninger!D27*Mark!P28)</f>
        <v>400</v>
      </c>
      <c r="S28" s="45" t="s">
        <v>3</v>
      </c>
      <c r="T28" s="37">
        <f>R28*Forudsætninger!B27</f>
        <v>4800</v>
      </c>
      <c r="U28" s="45"/>
    </row>
    <row r="29" spans="1:21" ht="12.75">
      <c r="A29" s="45" t="s">
        <v>1</v>
      </c>
      <c r="B29" s="126"/>
      <c r="C29" s="82">
        <f aca="true" t="shared" si="6" ref="C29:C42">IF($B$36=0,0,B29/$B$36)</f>
        <v>0</v>
      </c>
      <c r="D29" s="138">
        <f>D8</f>
        <v>0</v>
      </c>
      <c r="E29" s="49"/>
      <c r="F29" s="83">
        <f t="shared" si="4"/>
        <v>0</v>
      </c>
      <c r="G29" s="49"/>
      <c r="H29" s="124"/>
      <c r="I29" s="49"/>
      <c r="J29" s="85">
        <f>IF(B29=0,0,H29/B29)</f>
        <v>0</v>
      </c>
      <c r="K29" s="53"/>
      <c r="L29" s="124"/>
      <c r="M29" s="72">
        <f>(B29*Forudsætninger!J28)-(Mark!J29*Mark!B29)</f>
        <v>0</v>
      </c>
      <c r="N29" s="85">
        <f aca="true" t="shared" si="7" ref="N29:N35">IF(B29=0,0,L29/B29)</f>
        <v>0</v>
      </c>
      <c r="O29" s="49"/>
      <c r="P29" s="83">
        <f t="shared" si="5"/>
        <v>0</v>
      </c>
      <c r="Q29" s="49"/>
      <c r="R29" s="9">
        <f>Forudsætninger!H28+(Forudsætninger!D28*Mark!P29)</f>
        <v>3000</v>
      </c>
      <c r="S29" s="45" t="s">
        <v>3</v>
      </c>
      <c r="T29" s="37">
        <f>R29*Forudsætninger!B28</f>
        <v>4500</v>
      </c>
      <c r="U29" s="45"/>
    </row>
    <row r="30" spans="1:21" ht="12.75">
      <c r="A30" s="148" t="s">
        <v>2</v>
      </c>
      <c r="B30" s="126"/>
      <c r="C30" s="82">
        <f t="shared" si="6"/>
        <v>0</v>
      </c>
      <c r="D30" s="138">
        <f>D9</f>
        <v>100</v>
      </c>
      <c r="E30" s="49"/>
      <c r="F30" s="83">
        <f t="shared" si="4"/>
        <v>0</v>
      </c>
      <c r="G30" s="49"/>
      <c r="H30" s="124"/>
      <c r="I30" s="49"/>
      <c r="J30" s="53"/>
      <c r="K30" s="53"/>
      <c r="L30" s="124"/>
      <c r="M30" s="72">
        <f>(B30*Forudsætninger!J29)-(Mark!J30*Mark!B30)</f>
        <v>0</v>
      </c>
      <c r="N30" s="85">
        <f t="shared" si="7"/>
        <v>0</v>
      </c>
      <c r="O30" s="49"/>
      <c r="P30" s="83">
        <f t="shared" si="5"/>
        <v>0</v>
      </c>
      <c r="Q30" s="49"/>
      <c r="R30" s="9">
        <f>Forudsætninger!H29+(Forudsætninger!D29*Mark!P30)</f>
        <v>5000</v>
      </c>
      <c r="S30" s="45" t="s">
        <v>27</v>
      </c>
      <c r="T30" s="37">
        <f>R30*Forudsætninger!B29</f>
        <v>3250</v>
      </c>
      <c r="U30" s="45"/>
    </row>
    <row r="31" spans="1:21" ht="12.75">
      <c r="A31" s="148" t="s">
        <v>117</v>
      </c>
      <c r="B31" s="126"/>
      <c r="C31" s="82">
        <f t="shared" si="6"/>
        <v>0</v>
      </c>
      <c r="D31" s="138">
        <f>D9</f>
        <v>100</v>
      </c>
      <c r="E31" s="49"/>
      <c r="F31" s="83">
        <f t="shared" si="4"/>
        <v>0</v>
      </c>
      <c r="G31" s="49"/>
      <c r="H31" s="124"/>
      <c r="I31" s="49"/>
      <c r="J31" s="53"/>
      <c r="K31" s="53"/>
      <c r="L31" s="124"/>
      <c r="M31" s="72">
        <f>(B31*Forudsætninger!J30)-(Mark!J31*Mark!B31)</f>
        <v>0</v>
      </c>
      <c r="N31" s="85">
        <f t="shared" si="7"/>
        <v>0</v>
      </c>
      <c r="O31" s="49"/>
      <c r="P31" s="83">
        <f t="shared" si="5"/>
        <v>0</v>
      </c>
      <c r="Q31" s="49"/>
      <c r="R31" s="9">
        <f>Forudsætninger!H30+(Forudsætninger!D30*Mark!P31)</f>
        <v>5000</v>
      </c>
      <c r="S31" s="45" t="s">
        <v>27</v>
      </c>
      <c r="T31" s="37">
        <f>R31*Forudsætninger!B30</f>
        <v>3250</v>
      </c>
      <c r="U31" s="45"/>
    </row>
    <row r="32" spans="1:21" ht="12.75">
      <c r="A32" s="45" t="s">
        <v>29</v>
      </c>
      <c r="B32" s="126"/>
      <c r="C32" s="82">
        <f t="shared" si="6"/>
        <v>0</v>
      </c>
      <c r="D32" s="138">
        <f>D10</f>
        <v>0</v>
      </c>
      <c r="E32" s="49"/>
      <c r="F32" s="83">
        <f t="shared" si="4"/>
        <v>0</v>
      </c>
      <c r="G32" s="49"/>
      <c r="H32" s="124"/>
      <c r="I32" s="49"/>
      <c r="J32" s="53"/>
      <c r="K32" s="53"/>
      <c r="L32" s="124"/>
      <c r="M32" s="72">
        <f>(B32*Forudsætninger!J31)-(Mark!J32*Mark!B32)</f>
        <v>0</v>
      </c>
      <c r="N32" s="85">
        <f t="shared" si="7"/>
        <v>0</v>
      </c>
      <c r="O32" s="49"/>
      <c r="P32" s="83">
        <f t="shared" si="5"/>
        <v>0</v>
      </c>
      <c r="Q32" s="49"/>
      <c r="R32" s="9">
        <f>Forudsætninger!H31+(Forudsætninger!D31*Mark!P32)</f>
        <v>2000</v>
      </c>
      <c r="S32" s="45" t="s">
        <v>27</v>
      </c>
      <c r="T32" s="37">
        <f>R32*Forudsætninger!B31</f>
        <v>1300</v>
      </c>
      <c r="U32" s="45"/>
    </row>
    <row r="33" spans="1:21" ht="12.75">
      <c r="A33" s="148" t="s">
        <v>118</v>
      </c>
      <c r="B33" s="126"/>
      <c r="C33" s="82">
        <f t="shared" si="6"/>
        <v>0</v>
      </c>
      <c r="D33" s="127"/>
      <c r="E33" s="49"/>
      <c r="F33" s="83">
        <f t="shared" si="4"/>
        <v>0</v>
      </c>
      <c r="G33" s="49"/>
      <c r="H33" s="124"/>
      <c r="I33" s="49"/>
      <c r="J33" s="53"/>
      <c r="K33" s="53"/>
      <c r="L33" s="124"/>
      <c r="M33" s="72">
        <f>(B33*Forudsætninger!J32)-(Mark!J33*Mark!B33)</f>
        <v>0</v>
      </c>
      <c r="N33" s="85">
        <f t="shared" si="7"/>
        <v>0</v>
      </c>
      <c r="O33" s="49"/>
      <c r="P33" s="83">
        <f t="shared" si="5"/>
        <v>0</v>
      </c>
      <c r="Q33" s="49"/>
      <c r="R33" s="9">
        <f>Forudsætninger!H32+(Forudsætninger!D32*Mark!P33)</f>
        <v>2000</v>
      </c>
      <c r="S33" s="45" t="s">
        <v>27</v>
      </c>
      <c r="T33" s="37">
        <f>R33*Forudsætninger!B32</f>
        <v>1300</v>
      </c>
      <c r="U33" s="45"/>
    </row>
    <row r="34" spans="1:21" ht="12.75">
      <c r="A34" s="45" t="s">
        <v>6</v>
      </c>
      <c r="B34" s="126">
        <v>0</v>
      </c>
      <c r="C34" s="82">
        <f t="shared" si="6"/>
        <v>0</v>
      </c>
      <c r="D34" s="138">
        <f>D11</f>
        <v>30</v>
      </c>
      <c r="E34" s="49"/>
      <c r="F34" s="83">
        <f t="shared" si="4"/>
        <v>0</v>
      </c>
      <c r="G34" s="49"/>
      <c r="H34" s="124"/>
      <c r="I34" s="49"/>
      <c r="J34" s="53"/>
      <c r="K34" s="53"/>
      <c r="L34" s="124"/>
      <c r="M34" s="72">
        <f>(B34*Forudsætninger!J33)-(Mark!J34*Mark!B34)</f>
        <v>0</v>
      </c>
      <c r="N34" s="85">
        <f t="shared" si="7"/>
        <v>0</v>
      </c>
      <c r="O34" s="49"/>
      <c r="P34" s="83">
        <f t="shared" si="5"/>
        <v>0</v>
      </c>
      <c r="Q34" s="49"/>
      <c r="R34" s="9">
        <f>Forudsætninger!H33+(Forudsætninger!D33*Mark!P34)</f>
        <v>3000</v>
      </c>
      <c r="S34" s="45" t="s">
        <v>3</v>
      </c>
      <c r="T34" s="37">
        <f>R34*Forudsætninger!B33</f>
        <v>6000</v>
      </c>
      <c r="U34" s="45"/>
    </row>
    <row r="35" spans="1:21" ht="12.75">
      <c r="A35" s="45">
        <f>Forudsætninger!A34</f>
        <v>0</v>
      </c>
      <c r="B35" s="126"/>
      <c r="C35" s="82">
        <f t="shared" si="6"/>
        <v>0</v>
      </c>
      <c r="D35" s="124"/>
      <c r="E35" s="49"/>
      <c r="F35" s="83">
        <f t="shared" si="4"/>
        <v>0</v>
      </c>
      <c r="G35" s="49"/>
      <c r="H35" s="124"/>
      <c r="I35" s="49"/>
      <c r="J35" s="85">
        <f>IF(B35=0,0,H35/B35)</f>
        <v>0</v>
      </c>
      <c r="K35" s="53"/>
      <c r="L35" s="124"/>
      <c r="M35" s="72">
        <f>(B35*Forudsætninger!J34)-(Mark!J35*Mark!B35)</f>
        <v>0</v>
      </c>
      <c r="N35" s="85">
        <f t="shared" si="7"/>
        <v>0</v>
      </c>
      <c r="O35" s="49"/>
      <c r="P35" s="83">
        <f t="shared" si="5"/>
        <v>0</v>
      </c>
      <c r="Q35" s="49"/>
      <c r="R35" s="9">
        <f>Forudsætninger!H34+(Forudsætninger!D34*Mark!P35)</f>
        <v>0</v>
      </c>
      <c r="S35" s="45">
        <f>Forudsætninger!C34</f>
        <v>0</v>
      </c>
      <c r="T35" s="37">
        <f>R35*Forudsætninger!B34</f>
        <v>0</v>
      </c>
      <c r="U35" s="45"/>
    </row>
    <row r="36" spans="1:21" ht="12.75">
      <c r="A36" s="48" t="s">
        <v>30</v>
      </c>
      <c r="B36" s="80">
        <f>SUM(B28:B35)</f>
        <v>0</v>
      </c>
      <c r="C36" s="82">
        <f t="shared" si="6"/>
        <v>0</v>
      </c>
      <c r="D36" s="49"/>
      <c r="E36" s="49"/>
      <c r="F36" s="49"/>
      <c r="G36" s="49"/>
      <c r="H36" s="83">
        <f>SUM(H28:H35)</f>
        <v>0</v>
      </c>
      <c r="I36" s="49"/>
      <c r="J36" s="49"/>
      <c r="K36" s="53"/>
      <c r="L36" s="49"/>
      <c r="M36" s="61">
        <f>SUM(M28:M34)</f>
        <v>0</v>
      </c>
      <c r="N36" s="49"/>
      <c r="O36" s="49"/>
      <c r="P36" s="49"/>
      <c r="Q36" s="49"/>
      <c r="R36" s="54"/>
      <c r="S36" s="45"/>
      <c r="T36" s="49"/>
      <c r="U36" s="45"/>
    </row>
    <row r="37" spans="1:21" ht="12.75">
      <c r="A37" s="45"/>
      <c r="B37" s="45"/>
      <c r="C37" s="49"/>
      <c r="D37" s="49"/>
      <c r="E37" s="49"/>
      <c r="F37" s="49"/>
      <c r="G37" s="96">
        <f>IF(H37=0,0,"Tilbage")</f>
        <v>0</v>
      </c>
      <c r="H37" s="49">
        <f>F44-H36</f>
        <v>0</v>
      </c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5"/>
      <c r="T37" s="49"/>
      <c r="U37" s="45"/>
    </row>
    <row r="38" spans="1:21" ht="12.75">
      <c r="A38" s="48" t="s">
        <v>110</v>
      </c>
      <c r="B38" s="45"/>
      <c r="C38" s="49"/>
      <c r="D38" s="49"/>
      <c r="E38" s="49"/>
      <c r="F38" s="49"/>
      <c r="G38" s="96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5"/>
      <c r="T38" s="49"/>
      <c r="U38" s="45"/>
    </row>
    <row r="39" spans="1:21" ht="12.75">
      <c r="A39" s="45" t="s">
        <v>111</v>
      </c>
      <c r="B39" s="122"/>
      <c r="C39" s="82">
        <f t="shared" si="6"/>
        <v>0</v>
      </c>
      <c r="D39" s="139">
        <f>D16</f>
        <v>0</v>
      </c>
      <c r="E39" s="49"/>
      <c r="F39" s="83">
        <f>B39*D39</f>
        <v>0</v>
      </c>
      <c r="G39" s="49"/>
      <c r="H39" s="49"/>
      <c r="I39" s="49"/>
      <c r="J39" s="49"/>
      <c r="K39" s="100"/>
      <c r="L39" s="124"/>
      <c r="M39" s="83">
        <f>(B39*Forudsætninger!J37)-(Mark!J39*Mark!B39)</f>
        <v>0</v>
      </c>
      <c r="N39" s="85">
        <f>IF(B39=0,0,L39/B39)</f>
        <v>0</v>
      </c>
      <c r="O39" s="49"/>
      <c r="P39" s="83">
        <f>J39+N39</f>
        <v>0</v>
      </c>
      <c r="Q39" s="49"/>
      <c r="R39" s="85">
        <f>Forudsætninger!H37+(Forudsætninger!D37*Mark!P37)</f>
        <v>0</v>
      </c>
      <c r="S39" s="45">
        <f>S16</f>
        <v>0</v>
      </c>
      <c r="T39" s="157">
        <f>R39*Forudsætninger!B37</f>
        <v>0</v>
      </c>
      <c r="U39" s="45"/>
    </row>
    <row r="40" spans="1:21" ht="12.75">
      <c r="A40" s="45" t="s">
        <v>112</v>
      </c>
      <c r="B40" s="122"/>
      <c r="C40" s="82">
        <f t="shared" si="6"/>
        <v>0</v>
      </c>
      <c r="D40" s="139">
        <f>D17</f>
        <v>0</v>
      </c>
      <c r="E40" s="49"/>
      <c r="F40" s="83">
        <f>B40*D40</f>
        <v>0</v>
      </c>
      <c r="G40" s="49"/>
      <c r="H40" s="49"/>
      <c r="I40" s="49"/>
      <c r="J40" s="49"/>
      <c r="K40" s="100"/>
      <c r="L40" s="124"/>
      <c r="M40" s="83">
        <f>(B40*Forudsætninger!J38)-(Mark!J40*Mark!B40)</f>
        <v>0</v>
      </c>
      <c r="N40" s="85">
        <f>IF(B40=0,0,L40/B40)</f>
        <v>0</v>
      </c>
      <c r="O40" s="49"/>
      <c r="P40" s="83">
        <f>J40+N40</f>
        <v>0</v>
      </c>
      <c r="Q40" s="49"/>
      <c r="R40" s="85">
        <f>Forudsætninger!H38+(Forudsætninger!D38*Mark!P38)</f>
        <v>0</v>
      </c>
      <c r="S40" s="45">
        <f>S17</f>
        <v>0</v>
      </c>
      <c r="T40" s="157">
        <f>R40*Forudsætninger!B38</f>
        <v>0</v>
      </c>
      <c r="U40" s="45"/>
    </row>
    <row r="41" spans="1:21" ht="12.75">
      <c r="A41" s="148" t="s">
        <v>119</v>
      </c>
      <c r="B41" s="122"/>
      <c r="C41" s="82">
        <f t="shared" si="6"/>
        <v>0</v>
      </c>
      <c r="D41" s="124"/>
      <c r="E41" s="49"/>
      <c r="F41" s="83">
        <f>B41*D41</f>
        <v>0</v>
      </c>
      <c r="G41" s="49"/>
      <c r="H41" s="49"/>
      <c r="I41" s="49"/>
      <c r="J41" s="49"/>
      <c r="K41" s="49"/>
      <c r="L41" s="100"/>
      <c r="M41" s="53">
        <f>(B41*Forudsætninger!J39)-(Mark!J41*Mark!B41)</f>
        <v>0</v>
      </c>
      <c r="N41" s="53"/>
      <c r="O41" s="49"/>
      <c r="P41" s="53"/>
      <c r="Q41" s="49"/>
      <c r="R41" s="85">
        <f>Forudsætninger!H39+(Forudsætninger!D39*Mark!P39)</f>
        <v>600</v>
      </c>
      <c r="S41" s="45"/>
      <c r="T41" s="157">
        <f>R41*Forudsætninger!B39</f>
        <v>0</v>
      </c>
      <c r="U41" s="45"/>
    </row>
    <row r="42" spans="1:21" ht="12.75">
      <c r="A42" s="148" t="s">
        <v>120</v>
      </c>
      <c r="B42" s="122"/>
      <c r="C42" s="82">
        <f t="shared" si="6"/>
        <v>0</v>
      </c>
      <c r="D42" s="124"/>
      <c r="E42" s="49"/>
      <c r="F42" s="83">
        <f>B42*D42</f>
        <v>0</v>
      </c>
      <c r="G42" s="49"/>
      <c r="H42" s="49"/>
      <c r="I42" s="49"/>
      <c r="J42" s="49"/>
      <c r="K42" s="49"/>
      <c r="L42" s="100"/>
      <c r="M42" s="53"/>
      <c r="N42" s="53"/>
      <c r="O42" s="49"/>
      <c r="P42" s="53"/>
      <c r="Q42" s="49"/>
      <c r="R42" s="85">
        <f>Forudsætninger!H40+(Forudsætninger!D40*Mark!P40)</f>
        <v>400</v>
      </c>
      <c r="S42" s="45"/>
      <c r="T42" s="157">
        <f>R42*Forudsætninger!B40</f>
        <v>0</v>
      </c>
      <c r="U42" s="45"/>
    </row>
    <row r="43" spans="1:21" ht="12.75">
      <c r="A43" s="189"/>
      <c r="B43" s="190"/>
      <c r="C43" s="191"/>
      <c r="D43" s="117"/>
      <c r="E43" s="117"/>
      <c r="F43" s="117"/>
      <c r="G43" s="117"/>
      <c r="H43" s="117"/>
      <c r="I43" s="117"/>
      <c r="J43" s="117"/>
      <c r="K43" s="117"/>
      <c r="L43" s="192"/>
      <c r="M43" s="117"/>
      <c r="N43" s="117"/>
      <c r="O43" s="117"/>
      <c r="P43" s="117"/>
      <c r="Q43" s="117"/>
      <c r="R43" s="193"/>
      <c r="S43" s="189"/>
      <c r="T43" s="194"/>
      <c r="U43" s="189"/>
    </row>
    <row r="44" spans="1:22" ht="12.75">
      <c r="A44" s="48" t="s">
        <v>11</v>
      </c>
      <c r="B44" s="45"/>
      <c r="C44" s="45"/>
      <c r="D44" s="49"/>
      <c r="E44" s="49"/>
      <c r="F44" s="84">
        <f>SUM(F28:F42)</f>
        <v>0</v>
      </c>
      <c r="G44" s="49"/>
      <c r="H44" s="49"/>
      <c r="I44" s="49"/>
      <c r="J44" s="62"/>
      <c r="K44" s="101">
        <f>Gødning!J31</f>
        <v>0</v>
      </c>
      <c r="L44" s="188">
        <f>SUM(L28:L40)</f>
        <v>0</v>
      </c>
      <c r="M44" s="49"/>
      <c r="N44" s="49"/>
      <c r="O44" s="49"/>
      <c r="P44" s="49"/>
      <c r="Q44" s="49"/>
      <c r="R44" s="45"/>
      <c r="S44" s="103"/>
      <c r="T44" s="103"/>
      <c r="U44" s="103"/>
      <c r="V44" s="2"/>
    </row>
    <row r="45" spans="1:22" s="6" customFormat="1" ht="17.25" customHeight="1" thickBot="1">
      <c r="A45" s="78"/>
      <c r="B45" s="78"/>
      <c r="C45" s="78"/>
      <c r="D45" s="79"/>
      <c r="E45" s="79"/>
      <c r="F45" s="79"/>
      <c r="G45" s="97"/>
      <c r="H45" s="97"/>
      <c r="I45" s="79"/>
      <c r="J45" s="98"/>
      <c r="K45" s="79">
        <f>IF(L45=0,0,"Tilbage")</f>
        <v>0</v>
      </c>
      <c r="L45" s="99">
        <f>Gødning!J31-L44</f>
        <v>0</v>
      </c>
      <c r="M45" s="79"/>
      <c r="N45" s="79"/>
      <c r="O45" s="79"/>
      <c r="P45" s="79"/>
      <c r="Q45" s="79"/>
      <c r="R45" s="78"/>
      <c r="S45" s="78"/>
      <c r="T45" s="78"/>
      <c r="U45" s="78"/>
      <c r="V45" s="2"/>
    </row>
  </sheetData>
  <sheetProtection/>
  <conditionalFormatting sqref="M16:M17 M7:M12 M39:M43 M28:M35">
    <cfRule type="cellIs" priority="1" dxfId="0" operator="lessThan" stopIfTrue="1">
      <formula>L7</formula>
    </cfRule>
  </conditionalFormatting>
  <conditionalFormatting sqref="G14 K45 K20:K21 G37:G38">
    <cfRule type="cellIs" priority="2" dxfId="17" operator="equal" stopIfTrue="1">
      <formula>0</formula>
    </cfRule>
  </conditionalFormatting>
  <conditionalFormatting sqref="H14 L20:L21">
    <cfRule type="cellIs" priority="3" dxfId="16" operator="equal" stopIfTrue="1">
      <formula>0</formula>
    </cfRule>
  </conditionalFormatting>
  <conditionalFormatting sqref="B36">
    <cfRule type="cellIs" priority="4" dxfId="0" operator="notEqual" stopIfTrue="1">
      <formula>$B$13</formula>
    </cfRule>
  </conditionalFormatting>
  <conditionalFormatting sqref="H37:H38">
    <cfRule type="cellIs" priority="5" dxfId="14" operator="equal" stopIfTrue="1">
      <formula>0</formula>
    </cfRule>
  </conditionalFormatting>
  <conditionalFormatting sqref="L44">
    <cfRule type="cellIs" priority="6" dxfId="7" operator="lessThan" stopIfTrue="1">
      <formula>$K$44-1</formula>
    </cfRule>
    <cfRule type="cellIs" priority="7" dxfId="0" operator="greaterThan" stopIfTrue="1">
      <formula>$K$44+1</formula>
    </cfRule>
  </conditionalFormatting>
  <conditionalFormatting sqref="L19">
    <cfRule type="cellIs" priority="8" dxfId="7" operator="lessThan" stopIfTrue="1">
      <formula>$K$16-1</formula>
    </cfRule>
    <cfRule type="cellIs" priority="9" dxfId="0" operator="greaterThan" stopIfTrue="1">
      <formula>$K$16+1</formula>
    </cfRule>
  </conditionalFormatting>
  <conditionalFormatting sqref="H13">
    <cfRule type="cellIs" priority="10" dxfId="7" operator="lessThan" stopIfTrue="1">
      <formula>$F$19-1</formula>
    </cfRule>
    <cfRule type="cellIs" priority="11" dxfId="0" operator="greaterThan" stopIfTrue="1">
      <formula>$F$19+1</formula>
    </cfRule>
  </conditionalFormatting>
  <conditionalFormatting sqref="H36">
    <cfRule type="cellIs" priority="12" dxfId="7" operator="lessThan" stopIfTrue="1">
      <formula>$F$44-1</formula>
    </cfRule>
    <cfRule type="cellIs" priority="13" dxfId="0" operator="greaterThan" stopIfTrue="1">
      <formula>$F$44+1</formula>
    </cfRule>
  </conditionalFormatting>
  <conditionalFormatting sqref="M19">
    <cfRule type="cellIs" priority="14" dxfId="0" operator="lessThan" stopIfTrue="1">
      <formula>$L$19</formula>
    </cfRule>
  </conditionalFormatting>
  <printOptions horizontalCentered="1"/>
  <pageMargins left="0.7874015748031497" right="0.7874015748031497" top="0.984251968503937" bottom="0.984251968503937" header="0" footer="0"/>
  <pageSetup horizontalDpi="600" verticalDpi="600" orientation="landscape" paperSize="9" scale="78" r:id="rId3"/>
  <headerFooter alignWithMargins="0">
    <oddHeader>&amp;C&amp;16&amp;A</oddHeader>
    <oddFooter>&amp;C&amp;F 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showGridLines="0" showZeros="0" zoomScale="90" zoomScaleNormal="90" zoomScalePageLayoutView="0" workbookViewId="0" topLeftCell="A1">
      <selection activeCell="M43" sqref="M43"/>
    </sheetView>
  </sheetViews>
  <sheetFormatPr defaultColWidth="9.140625" defaultRowHeight="12.75"/>
  <cols>
    <col min="1" max="1" width="33.8515625" style="0" customWidth="1"/>
    <col min="3" max="3" width="4.8515625" style="0" customWidth="1"/>
    <col min="5" max="5" width="3.7109375" style="0" customWidth="1"/>
    <col min="7" max="7" width="9.00390625" style="0" customWidth="1"/>
    <col min="9" max="9" width="3.28125" style="0" customWidth="1"/>
    <col min="11" max="11" width="4.28125" style="0" customWidth="1"/>
    <col min="12" max="12" width="10.7109375" style="0" customWidth="1"/>
    <col min="13" max="13" width="5.57421875" style="0" customWidth="1"/>
    <col min="14" max="14" width="12.00390625" style="0" customWidth="1"/>
    <col min="15" max="15" width="4.140625" style="0" customWidth="1"/>
    <col min="16" max="16" width="9.140625" style="1" customWidth="1"/>
    <col min="17" max="17" width="3.28125" style="0" customWidth="1"/>
  </cols>
  <sheetData>
    <row r="1" s="27" customFormat="1" ht="6.75" customHeight="1" thickBot="1">
      <c r="P1" s="32"/>
    </row>
    <row r="2" spans="1:17" ht="12.75">
      <c r="A2" s="131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40"/>
      <c r="Q2" s="26"/>
    </row>
    <row r="3" spans="1:17" ht="15.75">
      <c r="A3" s="41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3" t="s">
        <v>37</v>
      </c>
      <c r="M3" s="42"/>
      <c r="N3" s="40" t="s">
        <v>37</v>
      </c>
      <c r="O3" s="26"/>
      <c r="P3" s="40" t="s">
        <v>95</v>
      </c>
      <c r="Q3" s="26"/>
    </row>
    <row r="4" spans="1:17" ht="12.75">
      <c r="A4" s="26"/>
      <c r="B4" s="26"/>
      <c r="C4" s="26"/>
      <c r="D4" s="40" t="s">
        <v>18</v>
      </c>
      <c r="E4" s="40"/>
      <c r="F4" s="40" t="s">
        <v>21</v>
      </c>
      <c r="G4" s="40" t="s">
        <v>21</v>
      </c>
      <c r="H4" s="40"/>
      <c r="I4" s="40"/>
      <c r="J4" s="40" t="s">
        <v>23</v>
      </c>
      <c r="K4" s="40"/>
      <c r="L4" s="40" t="s">
        <v>38</v>
      </c>
      <c r="M4" s="40"/>
      <c r="N4" s="40" t="s">
        <v>39</v>
      </c>
      <c r="O4" s="26"/>
      <c r="P4" s="40" t="s">
        <v>75</v>
      </c>
      <c r="Q4" s="26"/>
    </row>
    <row r="5" spans="1:17" ht="12.75">
      <c r="A5" s="26"/>
      <c r="B5" s="40" t="s">
        <v>17</v>
      </c>
      <c r="C5" s="26"/>
      <c r="D5" s="40" t="s">
        <v>19</v>
      </c>
      <c r="E5" s="40"/>
      <c r="F5" s="40" t="s">
        <v>11</v>
      </c>
      <c r="G5" s="40" t="s">
        <v>25</v>
      </c>
      <c r="H5" s="40" t="s">
        <v>22</v>
      </c>
      <c r="I5" s="40"/>
      <c r="J5" s="40" t="s">
        <v>5</v>
      </c>
      <c r="K5" s="40"/>
      <c r="L5" s="40" t="s">
        <v>40</v>
      </c>
      <c r="M5" s="40"/>
      <c r="N5" s="40" t="s">
        <v>40</v>
      </c>
      <c r="O5" s="26"/>
      <c r="P5" s="40" t="s">
        <v>12</v>
      </c>
      <c r="Q5" s="26"/>
    </row>
    <row r="6" spans="1:17" ht="12.75">
      <c r="A6" s="26" t="s">
        <v>84</v>
      </c>
      <c r="B6" s="124"/>
      <c r="C6" s="26"/>
      <c r="D6" s="130">
        <v>9</v>
      </c>
      <c r="E6" s="40"/>
      <c r="F6" s="72">
        <f>B6*D6</f>
        <v>0</v>
      </c>
      <c r="G6" s="74">
        <f>IF(Mark!$B$13=0,0,F6/Mark!$B$13)</f>
        <v>0</v>
      </c>
      <c r="H6" s="128">
        <v>0.45</v>
      </c>
      <c r="I6" s="40"/>
      <c r="J6" s="75">
        <f>F6*H6</f>
        <v>0</v>
      </c>
      <c r="K6" s="40"/>
      <c r="L6" s="129">
        <v>20</v>
      </c>
      <c r="M6" s="71"/>
      <c r="N6" s="129">
        <v>20</v>
      </c>
      <c r="O6" s="26"/>
      <c r="P6" s="63">
        <f>IF(B6=0,0,((L6+N6)/(D6*H6)))</f>
        <v>0</v>
      </c>
      <c r="Q6" s="26"/>
    </row>
    <row r="7" spans="1:17" ht="12.75">
      <c r="A7" s="26" t="s">
        <v>85</v>
      </c>
      <c r="B7" s="124"/>
      <c r="C7" s="26"/>
      <c r="D7" s="130">
        <v>9</v>
      </c>
      <c r="E7" s="40"/>
      <c r="F7" s="72">
        <f>B7*D7</f>
        <v>0</v>
      </c>
      <c r="G7" s="74">
        <f>IF(Mark!$B$13=0,0,F7/Mark!$B$13)</f>
        <v>0</v>
      </c>
      <c r="H7" s="128">
        <v>0.45</v>
      </c>
      <c r="I7" s="40"/>
      <c r="J7" s="75">
        <f>F7*H7</f>
        <v>0</v>
      </c>
      <c r="K7" s="40"/>
      <c r="L7" s="129">
        <v>20</v>
      </c>
      <c r="M7" s="71"/>
      <c r="N7" s="129">
        <v>20</v>
      </c>
      <c r="O7" s="26"/>
      <c r="P7" s="63">
        <f>IF(B7=0,0,((L7+N7)/(D7*H7)))</f>
        <v>0</v>
      </c>
      <c r="Q7" s="26"/>
    </row>
    <row r="8" spans="1:17" ht="12.75">
      <c r="A8" s="26"/>
      <c r="B8" s="40"/>
      <c r="C8" s="26"/>
      <c r="D8" s="64"/>
      <c r="E8" s="40"/>
      <c r="F8" s="69"/>
      <c r="G8" s="64"/>
      <c r="H8" s="40"/>
      <c r="I8" s="40"/>
      <c r="J8" s="70"/>
      <c r="K8" s="40"/>
      <c r="L8" s="71"/>
      <c r="M8" s="71"/>
      <c r="N8" s="71"/>
      <c r="O8" s="26"/>
      <c r="P8" s="40"/>
      <c r="Q8" s="26"/>
    </row>
    <row r="9" spans="1:17" ht="12.75">
      <c r="A9" s="26" t="s">
        <v>88</v>
      </c>
      <c r="B9" s="124"/>
      <c r="C9" s="26"/>
      <c r="D9" s="130">
        <v>4.5</v>
      </c>
      <c r="E9" s="40"/>
      <c r="F9" s="72">
        <f>B9*D9</f>
        <v>0</v>
      </c>
      <c r="G9" s="74">
        <f>IF(Mark!$B$13=0,0,F9/Mark!$B$13)</f>
        <v>0</v>
      </c>
      <c r="H9" s="128">
        <v>0.75</v>
      </c>
      <c r="I9" s="40"/>
      <c r="J9" s="75">
        <f>F9*H9</f>
        <v>0</v>
      </c>
      <c r="K9" s="40"/>
      <c r="L9" s="129">
        <v>20</v>
      </c>
      <c r="M9" s="71"/>
      <c r="N9" s="129">
        <v>20</v>
      </c>
      <c r="O9" s="26"/>
      <c r="P9" s="63">
        <f>IF(B9=0,0,((L9+N9)/(D9*H9)))</f>
        <v>0</v>
      </c>
      <c r="Q9" s="26"/>
    </row>
    <row r="10" spans="1:17" ht="12.75">
      <c r="A10" s="26" t="s">
        <v>89</v>
      </c>
      <c r="B10" s="124"/>
      <c r="C10" s="26"/>
      <c r="D10" s="130">
        <v>4.5</v>
      </c>
      <c r="E10" s="40"/>
      <c r="F10" s="72">
        <f>B10*D10</f>
        <v>0</v>
      </c>
      <c r="G10" s="74">
        <f>IF(Mark!$B$13=0,0,F10/Mark!$B$13)</f>
        <v>0</v>
      </c>
      <c r="H10" s="128">
        <v>0.75</v>
      </c>
      <c r="I10" s="40"/>
      <c r="J10" s="75">
        <f>F10*H10</f>
        <v>0</v>
      </c>
      <c r="K10" s="40"/>
      <c r="L10" s="129">
        <v>20</v>
      </c>
      <c r="M10" s="71"/>
      <c r="N10" s="129">
        <v>20</v>
      </c>
      <c r="O10" s="26"/>
      <c r="P10" s="63">
        <f>IF(B10=0,0,((L10+N10)/(D10*H10)))</f>
        <v>0</v>
      </c>
      <c r="Q10" s="26"/>
    </row>
    <row r="11" spans="1:17" ht="12.75">
      <c r="A11" s="26"/>
      <c r="B11" s="26"/>
      <c r="C11" s="26"/>
      <c r="D11" s="40"/>
      <c r="E11" s="40"/>
      <c r="F11" s="40"/>
      <c r="G11" s="64"/>
      <c r="H11" s="40"/>
      <c r="I11" s="40"/>
      <c r="J11" s="40"/>
      <c r="K11" s="40"/>
      <c r="L11" s="40"/>
      <c r="M11" s="40"/>
      <c r="N11" s="40"/>
      <c r="O11" s="26"/>
      <c r="P11" s="40"/>
      <c r="Q11" s="26"/>
    </row>
    <row r="12" spans="1:17" ht="12.75">
      <c r="A12" s="44" t="s">
        <v>30</v>
      </c>
      <c r="B12" s="72">
        <f>SUM(B5:B10)</f>
        <v>0</v>
      </c>
      <c r="C12" s="26"/>
      <c r="D12" s="40"/>
      <c r="E12" s="40"/>
      <c r="F12" s="73">
        <f>F6+F7+F9+F10</f>
        <v>0</v>
      </c>
      <c r="G12" s="74">
        <f>IF(Mark!$B$13=0,0,F12/Mark!$B$13)</f>
        <v>0</v>
      </c>
      <c r="H12" s="40"/>
      <c r="I12" s="40"/>
      <c r="J12" s="76">
        <f>SUM(J6:J10)</f>
        <v>0</v>
      </c>
      <c r="K12" s="66"/>
      <c r="L12" s="77">
        <f>SUMPRODUCT($B$6:$B$10,L6:L10)</f>
        <v>0</v>
      </c>
      <c r="M12" s="40"/>
      <c r="N12" s="77">
        <f>SUMPRODUCT($B$6:$B$10,N6:N10)</f>
        <v>0</v>
      </c>
      <c r="O12" s="26"/>
      <c r="P12" s="40"/>
      <c r="Q12" s="26"/>
    </row>
    <row r="13" spans="1:17" ht="12.75">
      <c r="A13" s="26"/>
      <c r="B13" s="26"/>
      <c r="C13" s="26"/>
      <c r="D13" s="40"/>
      <c r="E13" s="40"/>
      <c r="F13" s="64"/>
      <c r="G13" s="66"/>
      <c r="H13" s="40"/>
      <c r="I13" s="40"/>
      <c r="J13" s="40"/>
      <c r="K13" s="40"/>
      <c r="L13" s="40"/>
      <c r="M13" s="40"/>
      <c r="N13" s="40"/>
      <c r="O13" s="26"/>
      <c r="P13" s="40"/>
      <c r="Q13" s="26"/>
    </row>
    <row r="14" spans="1:17" s="27" customFormat="1" ht="13.5" thickBot="1">
      <c r="A14" s="28"/>
      <c r="B14" s="28"/>
      <c r="C14" s="28"/>
      <c r="D14" s="67"/>
      <c r="E14" s="67"/>
      <c r="F14" s="67"/>
      <c r="G14" s="67"/>
      <c r="H14" s="67"/>
      <c r="I14" s="67"/>
      <c r="J14" s="67"/>
      <c r="K14" s="67"/>
      <c r="L14" s="67"/>
      <c r="M14" s="68"/>
      <c r="N14" s="67"/>
      <c r="O14" s="28"/>
      <c r="P14" s="67"/>
      <c r="Q14" s="28"/>
    </row>
    <row r="15" spans="1:17" ht="12.7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9"/>
      <c r="Q15" s="45"/>
    </row>
    <row r="16" spans="1:17" ht="15.75">
      <c r="A16" s="46" t="s">
        <v>114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1" t="s">
        <v>37</v>
      </c>
      <c r="M16" s="50"/>
      <c r="N16" s="49" t="s">
        <v>37</v>
      </c>
      <c r="O16" s="45"/>
      <c r="P16" s="49" t="s">
        <v>95</v>
      </c>
      <c r="Q16" s="45"/>
    </row>
    <row r="17" spans="1:17" ht="12.75">
      <c r="A17" s="45"/>
      <c r="B17" s="45"/>
      <c r="C17" s="45"/>
      <c r="D17" s="49" t="s">
        <v>18</v>
      </c>
      <c r="E17" s="49"/>
      <c r="F17" s="49" t="s">
        <v>21</v>
      </c>
      <c r="G17" s="49" t="s">
        <v>21</v>
      </c>
      <c r="H17" s="49"/>
      <c r="I17" s="49"/>
      <c r="J17" s="49" t="s">
        <v>23</v>
      </c>
      <c r="K17" s="49"/>
      <c r="L17" s="49" t="s">
        <v>61</v>
      </c>
      <c r="M17" s="49"/>
      <c r="N17" s="49" t="s">
        <v>39</v>
      </c>
      <c r="O17" s="45"/>
      <c r="P17" s="49" t="s">
        <v>75</v>
      </c>
      <c r="Q17" s="45"/>
    </row>
    <row r="18" spans="1:17" ht="12.75">
      <c r="A18" s="45"/>
      <c r="B18" s="49" t="s">
        <v>17</v>
      </c>
      <c r="C18" s="45"/>
      <c r="D18" s="49" t="s">
        <v>19</v>
      </c>
      <c r="E18" s="49"/>
      <c r="F18" s="49" t="s">
        <v>11</v>
      </c>
      <c r="G18" s="49" t="s">
        <v>25</v>
      </c>
      <c r="H18" s="49" t="s">
        <v>22</v>
      </c>
      <c r="I18" s="49"/>
      <c r="J18" s="49" t="s">
        <v>5</v>
      </c>
      <c r="K18" s="49"/>
      <c r="L18" s="49" t="s">
        <v>40</v>
      </c>
      <c r="M18" s="49"/>
      <c r="N18" s="49" t="s">
        <v>40</v>
      </c>
      <c r="O18" s="45"/>
      <c r="P18" s="49" t="s">
        <v>12</v>
      </c>
      <c r="Q18" s="45"/>
    </row>
    <row r="19" spans="1:17" ht="12.75">
      <c r="A19" s="45" t="s">
        <v>84</v>
      </c>
      <c r="B19" s="124"/>
      <c r="C19" s="45"/>
      <c r="D19" s="130">
        <v>9</v>
      </c>
      <c r="E19" s="49"/>
      <c r="F19" s="72">
        <f>B19*D19</f>
        <v>0</v>
      </c>
      <c r="G19" s="74">
        <f>IF(Mark!$B$36=0,0,F19/Mark!$B$36)</f>
        <v>0</v>
      </c>
      <c r="H19" s="128">
        <v>0.45</v>
      </c>
      <c r="I19" s="49"/>
      <c r="J19" s="75">
        <f>(F19+F21)*H19</f>
        <v>0</v>
      </c>
      <c r="K19" s="49"/>
      <c r="L19" s="129">
        <v>20</v>
      </c>
      <c r="M19" s="55"/>
      <c r="N19" s="129">
        <v>20</v>
      </c>
      <c r="O19" s="45"/>
      <c r="P19" s="63">
        <f>IF(B19=0,0,((L19+N19)/(D19*H19)))</f>
        <v>0</v>
      </c>
      <c r="Q19" s="45"/>
    </row>
    <row r="20" spans="1:17" ht="12.75">
      <c r="A20" s="45" t="s">
        <v>85</v>
      </c>
      <c r="B20" s="124"/>
      <c r="C20" s="45"/>
      <c r="D20" s="130">
        <v>9</v>
      </c>
      <c r="E20" s="49"/>
      <c r="F20" s="72">
        <f>B20*D20</f>
        <v>0</v>
      </c>
      <c r="G20" s="74">
        <f>IF(Mark!$B$36=0,0,F20/Mark!$B$36)</f>
        <v>0</v>
      </c>
      <c r="H20" s="128">
        <v>0.45</v>
      </c>
      <c r="I20" s="49"/>
      <c r="J20" s="75">
        <f>(F20+F22)*H20</f>
        <v>0</v>
      </c>
      <c r="K20" s="49"/>
      <c r="L20" s="129">
        <v>20</v>
      </c>
      <c r="M20" s="55"/>
      <c r="N20" s="129">
        <v>20</v>
      </c>
      <c r="O20" s="45"/>
      <c r="P20" s="63">
        <f>IF(B20=0,0,((L20+N20)/(D20*H20)))</f>
        <v>0</v>
      </c>
      <c r="Q20" s="45"/>
    </row>
    <row r="21" spans="1:17" ht="12.75">
      <c r="A21" s="45" t="s">
        <v>86</v>
      </c>
      <c r="B21" s="124"/>
      <c r="C21" s="45"/>
      <c r="D21" s="169">
        <f>D19</f>
        <v>9</v>
      </c>
      <c r="E21" s="49"/>
      <c r="F21" s="72">
        <f>-B21*D21</f>
        <v>0</v>
      </c>
      <c r="G21" s="146"/>
      <c r="H21" s="143"/>
      <c r="I21" s="49"/>
      <c r="J21" s="144"/>
      <c r="K21" s="49"/>
      <c r="L21" s="129">
        <v>20</v>
      </c>
      <c r="M21" s="55"/>
      <c r="N21" s="145"/>
      <c r="O21" s="45"/>
      <c r="P21" s="147"/>
      <c r="Q21" s="45"/>
    </row>
    <row r="22" spans="1:17" ht="12.75">
      <c r="A22" s="45" t="s">
        <v>87</v>
      </c>
      <c r="B22" s="124"/>
      <c r="C22" s="45"/>
      <c r="D22" s="169">
        <f>D20</f>
        <v>9</v>
      </c>
      <c r="E22" s="49"/>
      <c r="F22" s="72">
        <f>-B22*D22</f>
        <v>0</v>
      </c>
      <c r="G22" s="146"/>
      <c r="H22" s="143"/>
      <c r="I22" s="49"/>
      <c r="J22" s="144"/>
      <c r="K22" s="49"/>
      <c r="L22" s="129">
        <v>20</v>
      </c>
      <c r="M22" s="55"/>
      <c r="N22" s="145"/>
      <c r="O22" s="45"/>
      <c r="P22" s="146"/>
      <c r="Q22" s="45"/>
    </row>
    <row r="23" spans="1:17" ht="12.75">
      <c r="A23" s="45"/>
      <c r="B23" s="49"/>
      <c r="C23" s="45"/>
      <c r="D23" s="52"/>
      <c r="E23" s="49"/>
      <c r="F23" s="53"/>
      <c r="G23" s="52"/>
      <c r="H23" s="49"/>
      <c r="I23" s="49"/>
      <c r="J23" s="54"/>
      <c r="K23" s="49"/>
      <c r="L23" s="55"/>
      <c r="M23" s="55"/>
      <c r="N23" s="55"/>
      <c r="O23" s="45"/>
      <c r="P23" s="52"/>
      <c r="Q23" s="45"/>
    </row>
    <row r="24" spans="1:17" ht="12.75">
      <c r="A24" s="45" t="s">
        <v>88</v>
      </c>
      <c r="B24" s="124"/>
      <c r="C24" s="45"/>
      <c r="D24" s="130">
        <v>4.5</v>
      </c>
      <c r="E24" s="49"/>
      <c r="F24" s="72">
        <f>B24*D24</f>
        <v>0</v>
      </c>
      <c r="G24" s="74">
        <f>IF(Mark!$B$36=0,0,F24/Mark!$B$36)</f>
        <v>0</v>
      </c>
      <c r="H24" s="128">
        <v>0.75</v>
      </c>
      <c r="I24" s="49"/>
      <c r="J24" s="75">
        <f>(F24+F26)*H24</f>
        <v>0</v>
      </c>
      <c r="K24" s="49"/>
      <c r="L24" s="129">
        <v>20</v>
      </c>
      <c r="M24" s="55"/>
      <c r="N24" s="129">
        <v>20</v>
      </c>
      <c r="O24" s="45"/>
      <c r="P24" s="63">
        <f>IF(B24=0,0,((L24+N24)/(D24*H24)))</f>
        <v>0</v>
      </c>
      <c r="Q24" s="45"/>
    </row>
    <row r="25" spans="1:17" ht="12.75">
      <c r="A25" s="45" t="s">
        <v>89</v>
      </c>
      <c r="B25" s="124"/>
      <c r="C25" s="45"/>
      <c r="D25" s="130">
        <v>4</v>
      </c>
      <c r="E25" s="49"/>
      <c r="F25" s="72">
        <f>B25*D25</f>
        <v>0</v>
      </c>
      <c r="G25" s="74">
        <f>IF(Mark!$B$36=0,0,F25/Mark!$B$36)</f>
        <v>0</v>
      </c>
      <c r="H25" s="128">
        <v>0.75</v>
      </c>
      <c r="I25" s="49"/>
      <c r="J25" s="75">
        <f>(F25+F27)*H25</f>
        <v>0</v>
      </c>
      <c r="K25" s="49"/>
      <c r="L25" s="129">
        <v>20</v>
      </c>
      <c r="M25" s="55"/>
      <c r="N25" s="129">
        <v>20</v>
      </c>
      <c r="O25" s="45"/>
      <c r="P25" s="63">
        <f>IF(B25=0,0,((L25+N25)/(D25*H25)))</f>
        <v>0</v>
      </c>
      <c r="Q25" s="45"/>
    </row>
    <row r="26" spans="1:17" ht="12.75">
      <c r="A26" s="45" t="s">
        <v>90</v>
      </c>
      <c r="B26" s="124"/>
      <c r="C26" s="45"/>
      <c r="D26" s="169">
        <f>D24</f>
        <v>4.5</v>
      </c>
      <c r="E26" s="49"/>
      <c r="F26" s="72">
        <f>-B26*D26</f>
        <v>0</v>
      </c>
      <c r="G26" s="146"/>
      <c r="H26" s="143"/>
      <c r="I26" s="49"/>
      <c r="J26" s="144"/>
      <c r="K26" s="49"/>
      <c r="L26" s="129">
        <v>20</v>
      </c>
      <c r="M26" s="55"/>
      <c r="N26" s="145"/>
      <c r="O26" s="45"/>
      <c r="P26" s="146"/>
      <c r="Q26" s="45"/>
    </row>
    <row r="27" spans="1:17" ht="12.75">
      <c r="A27" s="45" t="s">
        <v>91</v>
      </c>
      <c r="B27" s="124"/>
      <c r="C27" s="45"/>
      <c r="D27" s="169">
        <f>D25</f>
        <v>4</v>
      </c>
      <c r="E27" s="49"/>
      <c r="F27" s="72">
        <f>-B27*D27</f>
        <v>0</v>
      </c>
      <c r="G27" s="146"/>
      <c r="H27" s="143"/>
      <c r="I27" s="49"/>
      <c r="J27" s="144"/>
      <c r="K27" s="49"/>
      <c r="L27" s="129">
        <v>20</v>
      </c>
      <c r="M27" s="55"/>
      <c r="N27" s="145"/>
      <c r="O27" s="45"/>
      <c r="P27" s="146"/>
      <c r="Q27" s="45"/>
    </row>
    <row r="28" spans="1:17" s="38" customFormat="1" ht="12.75">
      <c r="A28" s="47"/>
      <c r="B28" s="56"/>
      <c r="C28" s="47"/>
      <c r="D28" s="57"/>
      <c r="E28" s="58"/>
      <c r="F28" s="56"/>
      <c r="G28" s="52"/>
      <c r="H28" s="59"/>
      <c r="I28" s="58"/>
      <c r="J28" s="60"/>
      <c r="K28" s="58"/>
      <c r="L28" s="56"/>
      <c r="M28" s="58"/>
      <c r="N28" s="56"/>
      <c r="O28" s="47"/>
      <c r="P28" s="52"/>
      <c r="Q28" s="47"/>
    </row>
    <row r="29" spans="1:17" ht="12.75">
      <c r="A29" s="45" t="s">
        <v>92</v>
      </c>
      <c r="B29" s="9">
        <f>Biogasgødning!F20</f>
        <v>0</v>
      </c>
      <c r="C29" s="45"/>
      <c r="D29" s="169">
        <f>Biogasgødning!G20</f>
        <v>4.5</v>
      </c>
      <c r="E29" s="49"/>
      <c r="F29" s="72">
        <f>B29*D29</f>
        <v>0</v>
      </c>
      <c r="G29" s="74">
        <f>IF(Mark!$B$36=0,0,F29/Mark!$B$36)</f>
        <v>0</v>
      </c>
      <c r="H29" s="128">
        <v>0.8</v>
      </c>
      <c r="I29" s="49"/>
      <c r="J29" s="75">
        <f>F29*H29</f>
        <v>0</v>
      </c>
      <c r="K29" s="49"/>
      <c r="L29" s="129">
        <v>40</v>
      </c>
      <c r="M29" s="55"/>
      <c r="N29" s="129">
        <v>20</v>
      </c>
      <c r="O29" s="45"/>
      <c r="P29" s="63">
        <f>IF(B29=0,0,(((N29+L29)*B29)/J29))</f>
        <v>0</v>
      </c>
      <c r="Q29" s="45"/>
    </row>
    <row r="30" spans="1:17" ht="12.75">
      <c r="A30" s="45"/>
      <c r="B30" s="45"/>
      <c r="C30" s="45"/>
      <c r="D30" s="49"/>
      <c r="E30" s="49"/>
      <c r="F30" s="49"/>
      <c r="G30" s="52"/>
      <c r="H30" s="49"/>
      <c r="I30" s="49"/>
      <c r="J30" s="49"/>
      <c r="K30" s="49"/>
      <c r="L30" s="49"/>
      <c r="M30" s="49"/>
      <c r="N30" s="49"/>
      <c r="O30" s="45"/>
      <c r="P30" s="49"/>
      <c r="Q30" s="45"/>
    </row>
    <row r="31" spans="1:17" ht="12.75">
      <c r="A31" s="48" t="s">
        <v>30</v>
      </c>
      <c r="B31" s="75">
        <f>B19+B20-B21-B22+B24+B25-B26-B27+B29</f>
        <v>0</v>
      </c>
      <c r="C31" s="45"/>
      <c r="D31" s="49"/>
      <c r="E31" s="49"/>
      <c r="F31" s="73">
        <f>SUM(F19:F29)</f>
        <v>0</v>
      </c>
      <c r="G31" s="74">
        <f>IF(Mark!$B$36=0,0,F31/Mark!$B$36)</f>
        <v>0</v>
      </c>
      <c r="H31" s="158">
        <f>IF(F31=0,0,J31/F31)</f>
        <v>0</v>
      </c>
      <c r="I31" s="49"/>
      <c r="J31" s="76">
        <f>SUM(J19:J29)</f>
        <v>0</v>
      </c>
      <c r="K31" s="62"/>
      <c r="L31" s="156"/>
      <c r="M31" s="49"/>
      <c r="N31" s="77">
        <f>((B19-B21)*N19)+((B20-B22)*N20)+((B24-B26)*N24)+((B25-B27)*N25)+(B29*N29)</f>
        <v>0</v>
      </c>
      <c r="O31" s="45"/>
      <c r="P31" s="49"/>
      <c r="Q31" s="45"/>
    </row>
    <row r="32" spans="1:17" s="27" customFormat="1" ht="13.5" thickBot="1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9"/>
      <c r="Q32" s="78"/>
    </row>
    <row r="33" ht="12.75"/>
  </sheetData>
  <sheetProtection/>
  <conditionalFormatting sqref="B21">
    <cfRule type="cellIs" priority="1" dxfId="0" operator="greaterThan" stopIfTrue="1">
      <formula>$B$19</formula>
    </cfRule>
  </conditionalFormatting>
  <conditionalFormatting sqref="B22">
    <cfRule type="cellIs" priority="2" dxfId="0" operator="greaterThan" stopIfTrue="1">
      <formula>$B$20</formula>
    </cfRule>
  </conditionalFormatting>
  <conditionalFormatting sqref="B26">
    <cfRule type="cellIs" priority="3" dxfId="0" operator="greaterThan" stopIfTrue="1">
      <formula>$B$24</formula>
    </cfRule>
  </conditionalFormatting>
  <conditionalFormatting sqref="B27">
    <cfRule type="cellIs" priority="4" dxfId="0" operator="greaterThan" stopIfTrue="1">
      <formula>$B$25</formula>
    </cfRule>
  </conditionalFormatting>
  <conditionalFormatting sqref="H6:H7 H9:H10 H19:H20 H24:H25 H29">
    <cfRule type="cellIs" priority="5" dxfId="0" operator="greaterThan" stopIfTrue="1">
      <formula>1</formula>
    </cfRule>
  </conditionalFormatting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86" r:id="rId3"/>
  <headerFooter alignWithMargins="0">
    <oddHeader>&amp;C&amp;16&amp;A</oddHeader>
    <oddFooter>&amp;C&amp;F  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showGridLines="0" showZeros="0" zoomScale="80" zoomScaleNormal="80" zoomScalePageLayoutView="0" workbookViewId="0" topLeftCell="A1">
      <selection activeCell="I20" sqref="I20"/>
    </sheetView>
  </sheetViews>
  <sheetFormatPr defaultColWidth="9.140625" defaultRowHeight="12.75"/>
  <cols>
    <col min="1" max="1" width="20.57421875" style="0" customWidth="1"/>
    <col min="2" max="2" width="9.140625" style="1" customWidth="1"/>
    <col min="4" max="4" width="11.421875" style="0" customWidth="1"/>
    <col min="6" max="6" width="9.140625" style="1" customWidth="1"/>
    <col min="7" max="7" width="11.8515625" style="0" bestFit="1" customWidth="1"/>
    <col min="8" max="8" width="10.8515625" style="31" customWidth="1"/>
    <col min="9" max="9" width="9.140625" style="1" customWidth="1"/>
    <col min="10" max="10" width="11.140625" style="0" customWidth="1"/>
    <col min="11" max="11" width="10.421875" style="1" customWidth="1"/>
    <col min="12" max="12" width="11.57421875" style="0" customWidth="1"/>
    <col min="13" max="13" width="12.7109375" style="0" customWidth="1"/>
    <col min="14" max="15" width="11.8515625" style="0" customWidth="1"/>
    <col min="16" max="16" width="3.57421875" style="0" customWidth="1"/>
  </cols>
  <sheetData>
    <row r="1" spans="2:11" s="27" customFormat="1" ht="6.75" customHeight="1" thickBot="1">
      <c r="B1" s="32"/>
      <c r="F1" s="32"/>
      <c r="H1" s="33"/>
      <c r="I1" s="32"/>
      <c r="K1" s="32"/>
    </row>
    <row r="2" spans="1:16" ht="12.75">
      <c r="A2" s="45"/>
      <c r="B2" s="49"/>
      <c r="C2" s="45"/>
      <c r="D2" s="45"/>
      <c r="E2" s="45"/>
      <c r="F2" s="49"/>
      <c r="G2" s="45"/>
      <c r="H2" s="45"/>
      <c r="I2" s="49"/>
      <c r="J2" s="45"/>
      <c r="K2" s="49"/>
      <c r="L2" s="45"/>
      <c r="M2" s="45"/>
      <c r="N2" s="45"/>
      <c r="O2" s="45"/>
      <c r="P2" s="45"/>
    </row>
    <row r="3" spans="1:16" ht="15.75">
      <c r="A3" s="46" t="s">
        <v>104</v>
      </c>
      <c r="B3" s="49"/>
      <c r="C3" s="45"/>
      <c r="D3" s="45"/>
      <c r="E3" s="45"/>
      <c r="F3" s="49"/>
      <c r="G3" s="45"/>
      <c r="H3" s="45"/>
      <c r="I3" s="49"/>
      <c r="J3" s="45"/>
      <c r="K3" s="49"/>
      <c r="L3" s="45"/>
      <c r="M3" s="45"/>
      <c r="N3" s="45"/>
      <c r="O3" s="45"/>
      <c r="P3" s="45"/>
    </row>
    <row r="4" spans="1:16" ht="12.75">
      <c r="A4" s="48"/>
      <c r="B4" s="49"/>
      <c r="C4" s="49" t="s">
        <v>44</v>
      </c>
      <c r="D4" s="49" t="s">
        <v>63</v>
      </c>
      <c r="E4" s="49" t="s">
        <v>64</v>
      </c>
      <c r="F4" s="49"/>
      <c r="G4" s="45"/>
      <c r="H4" s="49"/>
      <c r="I4" s="49" t="s">
        <v>19</v>
      </c>
      <c r="J4" s="45"/>
      <c r="K4" s="49" t="s">
        <v>100</v>
      </c>
      <c r="L4" s="45"/>
      <c r="M4" s="45" t="s">
        <v>103</v>
      </c>
      <c r="N4" s="49" t="s">
        <v>67</v>
      </c>
      <c r="O4" s="49" t="s">
        <v>67</v>
      </c>
      <c r="P4" s="45"/>
    </row>
    <row r="5" spans="1:16" ht="12.75">
      <c r="A5" s="48" t="s">
        <v>78</v>
      </c>
      <c r="B5" s="49" t="s">
        <v>45</v>
      </c>
      <c r="C5" s="49" t="s">
        <v>62</v>
      </c>
      <c r="D5" s="49" t="s">
        <v>27</v>
      </c>
      <c r="E5" s="49" t="s">
        <v>27</v>
      </c>
      <c r="F5" s="49" t="s">
        <v>70</v>
      </c>
      <c r="G5" s="49" t="s">
        <v>98</v>
      </c>
      <c r="H5" s="49" t="s">
        <v>97</v>
      </c>
      <c r="I5" s="49" t="s">
        <v>96</v>
      </c>
      <c r="J5" s="45" t="s">
        <v>65</v>
      </c>
      <c r="K5" s="49" t="s">
        <v>101</v>
      </c>
      <c r="L5" s="49" t="s">
        <v>102</v>
      </c>
      <c r="M5" s="49" t="s">
        <v>66</v>
      </c>
      <c r="N5" s="49" t="s">
        <v>68</v>
      </c>
      <c r="O5" s="49" t="s">
        <v>69</v>
      </c>
      <c r="P5" s="45"/>
    </row>
    <row r="6" spans="1:16" ht="12.75">
      <c r="A6" s="45" t="str">
        <f>Mark!A31</f>
        <v>Biogas Kløvergræs</v>
      </c>
      <c r="B6" s="110">
        <f>Mark!B31</f>
        <v>0</v>
      </c>
      <c r="C6" s="161">
        <f>Mark!R31</f>
        <v>5000</v>
      </c>
      <c r="D6" s="83">
        <f>C6*B6</f>
        <v>0</v>
      </c>
      <c r="E6" s="135">
        <v>3.3</v>
      </c>
      <c r="F6" s="85">
        <f>(D6*E6)/1000</f>
        <v>0</v>
      </c>
      <c r="G6" s="135">
        <v>10</v>
      </c>
      <c r="H6" s="34">
        <f>IF(B6=0,0,I6/B6)</f>
        <v>0</v>
      </c>
      <c r="I6" s="85">
        <f>F6*G6</f>
        <v>0</v>
      </c>
      <c r="J6" s="124">
        <v>13</v>
      </c>
      <c r="K6" s="124">
        <v>700</v>
      </c>
      <c r="L6" s="124">
        <v>15</v>
      </c>
      <c r="M6" s="124">
        <v>50</v>
      </c>
      <c r="N6" s="85">
        <f>IF(M6=0,0,IF(J6=0,0,(((L6*2)/M6)*K6)/J6))</f>
        <v>32.30769230769231</v>
      </c>
      <c r="O6" s="157">
        <f>N6*F6</f>
        <v>0</v>
      </c>
      <c r="P6" s="109"/>
    </row>
    <row r="7" spans="1:16" ht="12.75">
      <c r="A7" s="45" t="str">
        <f>Mark!A33</f>
        <v>Biogas Græa/vedv. græs</v>
      </c>
      <c r="B7" s="110">
        <f>Mark!B33</f>
        <v>0</v>
      </c>
      <c r="C7" s="161">
        <f>Mark!R33</f>
        <v>2000</v>
      </c>
      <c r="D7" s="83">
        <f>C7*B7</f>
        <v>0</v>
      </c>
      <c r="E7" s="135">
        <v>3.5</v>
      </c>
      <c r="F7" s="85">
        <f>(D7*E7)/1000</f>
        <v>0</v>
      </c>
      <c r="G7" s="135">
        <v>6</v>
      </c>
      <c r="H7" s="34">
        <f>IF(B7=0,0,I7/B7)</f>
        <v>0</v>
      </c>
      <c r="I7" s="85">
        <f>F7*G7</f>
        <v>0</v>
      </c>
      <c r="J7" s="124">
        <v>13</v>
      </c>
      <c r="K7" s="124">
        <v>700</v>
      </c>
      <c r="L7" s="124">
        <v>15</v>
      </c>
      <c r="M7" s="124">
        <v>40</v>
      </c>
      <c r="N7" s="85">
        <f>IF(M7=0,0,IF(J7=0,0,(((L7*2)/M7)*K7)/J7))</f>
        <v>40.38461538461539</v>
      </c>
      <c r="O7" s="157">
        <f>N7*F7</f>
        <v>0</v>
      </c>
      <c r="P7" s="109"/>
    </row>
    <row r="8" spans="1:16" ht="12.75">
      <c r="A8" s="45" t="str">
        <f>Mark!A41</f>
        <v>Biogas efterafgrøde 1</v>
      </c>
      <c r="B8" s="110">
        <f>Mark!B41</f>
        <v>0</v>
      </c>
      <c r="C8" s="161">
        <f>Mark!R41</f>
        <v>600</v>
      </c>
      <c r="D8" s="83">
        <f>C8*B8</f>
        <v>0</v>
      </c>
      <c r="E8" s="135">
        <v>4</v>
      </c>
      <c r="F8" s="85">
        <f>(D8*E8)/1000</f>
        <v>0</v>
      </c>
      <c r="G8" s="135">
        <v>6</v>
      </c>
      <c r="H8" s="34">
        <f>IF(B8=0,0,I8/B8)</f>
        <v>0</v>
      </c>
      <c r="I8" s="85">
        <f>F8*G8</f>
        <v>0</v>
      </c>
      <c r="J8" s="124">
        <v>13</v>
      </c>
      <c r="K8" s="124">
        <v>700</v>
      </c>
      <c r="L8" s="124">
        <v>15</v>
      </c>
      <c r="M8" s="124">
        <v>40</v>
      </c>
      <c r="N8" s="85">
        <f>IF(M8=0,0,IF(J8=0,0,(((L8*2)/M8)*K8)/J8))</f>
        <v>40.38461538461539</v>
      </c>
      <c r="O8" s="157">
        <f>N8*F8</f>
        <v>0</v>
      </c>
      <c r="P8" s="109"/>
    </row>
    <row r="9" spans="1:16" ht="12.75">
      <c r="A9" s="45" t="str">
        <f>Mark!A42</f>
        <v>Biogas efterafgrøde 2</v>
      </c>
      <c r="B9" s="110">
        <f>Mark!B42</f>
        <v>0</v>
      </c>
      <c r="C9" s="161">
        <f>Mark!R42</f>
        <v>400</v>
      </c>
      <c r="D9" s="83">
        <f>C9*B9</f>
        <v>0</v>
      </c>
      <c r="E9" s="130">
        <v>4</v>
      </c>
      <c r="F9" s="85">
        <f>(D9*E9)/1000</f>
        <v>0</v>
      </c>
      <c r="G9" s="130">
        <v>6</v>
      </c>
      <c r="H9" s="34">
        <f>IF(B9=0,0,I9/B9)</f>
        <v>0</v>
      </c>
      <c r="I9" s="85">
        <f>F9*G9</f>
        <v>0</v>
      </c>
      <c r="J9" s="124">
        <v>13</v>
      </c>
      <c r="K9" s="124">
        <v>700</v>
      </c>
      <c r="L9" s="124">
        <v>15</v>
      </c>
      <c r="M9" s="124">
        <v>40</v>
      </c>
      <c r="N9" s="85">
        <f>IF(M9=0,0,IF(J9=0,0,(((L9*2)/M9)*K9)/J9))</f>
        <v>40.38461538461539</v>
      </c>
      <c r="O9" s="157">
        <f>N9*F9</f>
        <v>0</v>
      </c>
      <c r="P9" s="109"/>
    </row>
    <row r="10" spans="1:16" s="5" customFormat="1" ht="12.75">
      <c r="A10" s="48" t="s">
        <v>30</v>
      </c>
      <c r="B10" s="80">
        <f>SUM(B6:B8)</f>
        <v>0</v>
      </c>
      <c r="C10" s="48"/>
      <c r="D10" s="84">
        <f>SUM(D6:D9)</f>
        <v>0</v>
      </c>
      <c r="E10" s="48"/>
      <c r="F10" s="140">
        <f>SUM(F6:F9)</f>
        <v>0</v>
      </c>
      <c r="G10" s="48"/>
      <c r="H10" s="150"/>
      <c r="I10" s="140">
        <f>SUM(I6:I8)</f>
        <v>0</v>
      </c>
      <c r="J10" s="48"/>
      <c r="K10" s="61"/>
      <c r="L10" s="48"/>
      <c r="M10" s="48"/>
      <c r="N10" s="111"/>
      <c r="O10" s="159"/>
      <c r="P10" s="48"/>
    </row>
    <row r="11" spans="1:16" s="5" customFormat="1" ht="12.75">
      <c r="A11" s="48"/>
      <c r="B11" s="149"/>
      <c r="C11" s="48"/>
      <c r="D11" s="150"/>
      <c r="E11" s="48"/>
      <c r="F11" s="151"/>
      <c r="G11" s="48"/>
      <c r="H11" s="150"/>
      <c r="I11" s="151"/>
      <c r="J11" s="48"/>
      <c r="K11" s="61"/>
      <c r="L11" s="48"/>
      <c r="M11" s="48"/>
      <c r="N11" s="111"/>
      <c r="O11" s="159"/>
      <c r="P11" s="48"/>
    </row>
    <row r="12" spans="1:16" s="5" customFormat="1" ht="12.75">
      <c r="A12" s="48" t="s">
        <v>7</v>
      </c>
      <c r="B12" s="149"/>
      <c r="C12" s="48"/>
      <c r="D12" s="150"/>
      <c r="E12" s="48"/>
      <c r="F12" s="151"/>
      <c r="G12" s="48"/>
      <c r="H12" s="150"/>
      <c r="I12" s="151"/>
      <c r="J12" s="48"/>
      <c r="K12" s="61"/>
      <c r="L12" s="48"/>
      <c r="M12" s="48"/>
      <c r="N12" s="111"/>
      <c r="O12" s="159"/>
      <c r="P12" s="48"/>
    </row>
    <row r="13" spans="1:16" s="5" customFormat="1" ht="12.75">
      <c r="A13" s="148" t="s">
        <v>79</v>
      </c>
      <c r="B13" s="149"/>
      <c r="C13" s="48"/>
      <c r="D13" s="150"/>
      <c r="E13" s="48"/>
      <c r="F13" s="153">
        <f>Gødning!B21+Gødning!B22</f>
        <v>0</v>
      </c>
      <c r="G13" s="154">
        <f>IF(F13=0,0,((Gødning!D21*Gødning!B21)+(Gødning!D22*Gødning!B22))/Biogasgødning!F13)</f>
        <v>0</v>
      </c>
      <c r="H13" s="150"/>
      <c r="I13" s="195">
        <f>G13*F13</f>
        <v>0</v>
      </c>
      <c r="J13" s="168">
        <v>20</v>
      </c>
      <c r="K13" s="168">
        <v>700</v>
      </c>
      <c r="L13" s="168">
        <v>15</v>
      </c>
      <c r="M13" s="168">
        <v>45</v>
      </c>
      <c r="N13" s="85">
        <f>IF(M13=0,0,IF(J13=0,0,(((L13*2)/M13)*K13)/J13))</f>
        <v>23.333333333333332</v>
      </c>
      <c r="O13" s="157">
        <f>N13*F13</f>
        <v>0</v>
      </c>
      <c r="P13" s="48"/>
    </row>
    <row r="14" spans="1:16" s="5" customFormat="1" ht="12.75">
      <c r="A14" s="148" t="s">
        <v>80</v>
      </c>
      <c r="B14" s="149"/>
      <c r="C14" s="48"/>
      <c r="D14" s="150"/>
      <c r="E14" s="48"/>
      <c r="F14" s="153">
        <f>Gødning!B26+Gødning!B27</f>
        <v>0</v>
      </c>
      <c r="G14" s="154">
        <f>IF(F14=0,0,((Gødning!D26*Gødning!B26)+(Gødning!D27*Gødning!B27))/Biogasgødning!F14)</f>
        <v>0</v>
      </c>
      <c r="H14" s="150"/>
      <c r="I14" s="195">
        <f>G14*F14</f>
        <v>0</v>
      </c>
      <c r="J14" s="168">
        <v>30</v>
      </c>
      <c r="K14" s="168">
        <v>700</v>
      </c>
      <c r="L14" s="168">
        <v>15</v>
      </c>
      <c r="M14" s="168">
        <v>20</v>
      </c>
      <c r="N14" s="85">
        <f>IF(M14=0,0,IF(J14=0,0,(((L14*2)/M14)*K14)/J14))</f>
        <v>35</v>
      </c>
      <c r="O14" s="157">
        <f>N14*F14</f>
        <v>0</v>
      </c>
      <c r="P14" s="48"/>
    </row>
    <row r="15" spans="1:16" s="5" customFormat="1" ht="12.75">
      <c r="A15" s="48" t="s">
        <v>99</v>
      </c>
      <c r="B15" s="149"/>
      <c r="C15" s="48"/>
      <c r="D15" s="150"/>
      <c r="E15" s="48"/>
      <c r="F15" s="84">
        <f>SUM(F13:F14)</f>
        <v>0</v>
      </c>
      <c r="G15" s="155"/>
      <c r="H15" s="150"/>
      <c r="I15" s="196">
        <f>SUM(I13:I14)</f>
        <v>0</v>
      </c>
      <c r="J15" s="48"/>
      <c r="K15" s="61"/>
      <c r="L15" s="48"/>
      <c r="M15" s="48"/>
      <c r="N15" s="111"/>
      <c r="O15" s="159"/>
      <c r="P15" s="48"/>
    </row>
    <row r="16" spans="1:16" s="5" customFormat="1" ht="12.75">
      <c r="A16" s="48"/>
      <c r="B16" s="149"/>
      <c r="C16" s="48"/>
      <c r="D16" s="150"/>
      <c r="E16" s="48"/>
      <c r="F16" s="151"/>
      <c r="G16" s="155"/>
      <c r="H16" s="150"/>
      <c r="I16" s="197"/>
      <c r="J16" s="48"/>
      <c r="K16" s="61"/>
      <c r="L16" s="48"/>
      <c r="M16" s="48"/>
      <c r="N16" s="111"/>
      <c r="O16" s="159"/>
      <c r="P16" s="48"/>
    </row>
    <row r="17" spans="1:16" s="5" customFormat="1" ht="12.75">
      <c r="A17" s="48" t="s">
        <v>81</v>
      </c>
      <c r="B17" s="149"/>
      <c r="C17" s="48"/>
      <c r="D17" s="150"/>
      <c r="E17" s="48"/>
      <c r="F17" s="152">
        <f>F10+F15</f>
        <v>0</v>
      </c>
      <c r="G17" s="167">
        <f>IF(F17=0,0,I17/F17)</f>
        <v>0</v>
      </c>
      <c r="H17" s="150"/>
      <c r="I17" s="196">
        <f>I10+I15</f>
        <v>0</v>
      </c>
      <c r="J17" s="48"/>
      <c r="K17" s="61"/>
      <c r="L17" s="48"/>
      <c r="M17" s="48"/>
      <c r="N17" s="111"/>
      <c r="O17" s="159"/>
      <c r="P17" s="48"/>
    </row>
    <row r="18" spans="1:16" ht="12.75">
      <c r="A18" s="45"/>
      <c r="B18" s="49"/>
      <c r="C18" s="45"/>
      <c r="D18" s="45"/>
      <c r="E18" s="45"/>
      <c r="F18" s="49"/>
      <c r="G18" s="45"/>
      <c r="H18" s="45"/>
      <c r="I18" s="54"/>
      <c r="J18" s="45"/>
      <c r="K18" s="49"/>
      <c r="L18" s="45"/>
      <c r="M18" s="45"/>
      <c r="N18" s="102"/>
      <c r="O18" s="49"/>
      <c r="P18" s="45"/>
    </row>
    <row r="19" spans="1:16" ht="16.5" thickBot="1">
      <c r="A19" s="46" t="s">
        <v>105</v>
      </c>
      <c r="B19" s="49"/>
      <c r="C19" s="45"/>
      <c r="D19" s="45"/>
      <c r="E19" s="45"/>
      <c r="F19" s="49"/>
      <c r="G19" s="45"/>
      <c r="H19" s="45"/>
      <c r="I19" s="54"/>
      <c r="J19" s="45"/>
      <c r="K19" s="49"/>
      <c r="L19" s="45"/>
      <c r="M19" s="45"/>
      <c r="N19" s="102"/>
      <c r="O19" s="49"/>
      <c r="P19" s="45"/>
    </row>
    <row r="20" spans="1:16" ht="13.5" thickBot="1">
      <c r="A20" s="45" t="s">
        <v>60</v>
      </c>
      <c r="B20" s="49"/>
      <c r="C20" s="45"/>
      <c r="D20" s="45"/>
      <c r="E20" s="45"/>
      <c r="F20" s="140">
        <f>IF(G20=0,0,(I20/G20))</f>
        <v>0</v>
      </c>
      <c r="G20" s="130">
        <v>4.5</v>
      </c>
      <c r="H20" s="45"/>
      <c r="I20" s="198"/>
      <c r="J20" s="127">
        <v>30</v>
      </c>
      <c r="K20" s="124">
        <v>700</v>
      </c>
      <c r="L20" s="124"/>
      <c r="M20" s="168">
        <v>45</v>
      </c>
      <c r="N20" s="85">
        <f>IF(M20=0,0,IF(J20=0,0,(((L20*2)/M20)*K20)/J20))</f>
        <v>0</v>
      </c>
      <c r="O20" s="157">
        <f>N20*F20</f>
        <v>0</v>
      </c>
      <c r="P20" s="45"/>
    </row>
    <row r="21" spans="1:16" ht="12.75">
      <c r="A21" s="45"/>
      <c r="B21" s="49"/>
      <c r="C21" s="45"/>
      <c r="D21" s="45"/>
      <c r="E21" s="45"/>
      <c r="F21" s="49"/>
      <c r="G21" s="45"/>
      <c r="H21" s="45"/>
      <c r="I21" s="49"/>
      <c r="J21" s="45"/>
      <c r="K21" s="49"/>
      <c r="L21" s="45"/>
      <c r="M21" s="45"/>
      <c r="N21" s="45"/>
      <c r="O21" s="49"/>
      <c r="P21" s="45"/>
    </row>
    <row r="22" spans="1:16" ht="12.75">
      <c r="A22" s="48" t="s">
        <v>30</v>
      </c>
      <c r="B22" s="49"/>
      <c r="C22" s="45"/>
      <c r="D22" s="45"/>
      <c r="E22" s="45"/>
      <c r="F22" s="49"/>
      <c r="G22" s="45"/>
      <c r="H22" s="45"/>
      <c r="I22" s="49"/>
      <c r="J22" s="45"/>
      <c r="K22" s="49"/>
      <c r="L22" s="45"/>
      <c r="M22" s="45"/>
      <c r="N22" s="45"/>
      <c r="O22" s="160">
        <f>SUM(O6:O20)</f>
        <v>0</v>
      </c>
      <c r="P22" s="45"/>
    </row>
    <row r="23" spans="1:16" s="27" customFormat="1" ht="13.5" thickBot="1">
      <c r="A23" s="78"/>
      <c r="B23" s="79"/>
      <c r="C23" s="78"/>
      <c r="D23" s="78"/>
      <c r="E23" s="78"/>
      <c r="F23" s="79"/>
      <c r="G23" s="78"/>
      <c r="H23" s="78"/>
      <c r="I23" s="79"/>
      <c r="J23" s="78"/>
      <c r="K23" s="79"/>
      <c r="L23" s="78"/>
      <c r="M23" s="78"/>
      <c r="N23" s="112"/>
      <c r="O23" s="78"/>
      <c r="P23" s="78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74" r:id="rId3"/>
  <headerFooter alignWithMargins="0">
    <oddHeader>&amp;C&amp;16&amp;A</oddHeader>
    <oddFooter>&amp;C&amp;F  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showGridLines="0" showZeros="0" zoomScalePageLayoutView="0" workbookViewId="0" topLeftCell="A1">
      <selection activeCell="D10" sqref="D10"/>
    </sheetView>
  </sheetViews>
  <sheetFormatPr defaultColWidth="9.140625" defaultRowHeight="12.75"/>
  <cols>
    <col min="1" max="1" width="18.00390625" style="0" customWidth="1"/>
    <col min="3" max="3" width="6.57421875" style="0" customWidth="1"/>
    <col min="5" max="5" width="5.421875" style="0" customWidth="1"/>
    <col min="6" max="6" width="6.57421875" style="0" customWidth="1"/>
    <col min="7" max="7" width="4.28125" style="0" customWidth="1"/>
    <col min="8" max="8" width="11.7109375" style="0" customWidth="1"/>
    <col min="9" max="9" width="6.57421875" style="0" customWidth="1"/>
    <col min="10" max="10" width="9.140625" style="1" customWidth="1"/>
    <col min="11" max="11" width="4.57421875" style="0" customWidth="1"/>
    <col min="13" max="13" width="6.140625" style="0" customWidth="1"/>
    <col min="15" max="15" width="3.8515625" style="0" customWidth="1"/>
    <col min="16" max="16" width="13.28125" style="0" customWidth="1"/>
    <col min="17" max="17" width="3.140625" style="0" customWidth="1"/>
  </cols>
  <sheetData>
    <row r="1" s="27" customFormat="1" ht="5.25" customHeight="1" thickBot="1">
      <c r="J1" s="32"/>
    </row>
    <row r="2" spans="1:17" s="6" customFormat="1" ht="12.75">
      <c r="A2" s="29"/>
      <c r="B2" s="29"/>
      <c r="C2" s="29"/>
      <c r="D2" s="29"/>
      <c r="E2" s="29"/>
      <c r="F2" s="29"/>
      <c r="G2" s="29"/>
      <c r="H2" s="29"/>
      <c r="I2" s="29"/>
      <c r="J2" s="69"/>
      <c r="K2" s="29"/>
      <c r="L2" s="29"/>
      <c r="M2" s="29"/>
      <c r="N2" s="29"/>
      <c r="O2" s="29"/>
      <c r="P2" s="29"/>
      <c r="Q2" s="29"/>
    </row>
    <row r="3" spans="1:17" s="6" customFormat="1" ht="12.75" hidden="1">
      <c r="A3" s="29"/>
      <c r="B3" s="29"/>
      <c r="C3" s="29"/>
      <c r="D3" s="29"/>
      <c r="E3" s="29"/>
      <c r="F3" s="29"/>
      <c r="G3" s="29"/>
      <c r="H3" s="29"/>
      <c r="I3" s="29"/>
      <c r="J3" s="69"/>
      <c r="K3" s="29"/>
      <c r="L3" s="29"/>
      <c r="M3" s="29"/>
      <c r="N3" s="29"/>
      <c r="O3" s="29"/>
      <c r="P3" s="29"/>
      <c r="Q3" s="29"/>
    </row>
    <row r="4" spans="1:17" ht="15.75">
      <c r="A4" s="41" t="s">
        <v>0</v>
      </c>
      <c r="B4" s="26"/>
      <c r="C4" s="26"/>
      <c r="D4" s="26"/>
      <c r="E4" s="26"/>
      <c r="F4" s="26"/>
      <c r="G4" s="26"/>
      <c r="H4" s="26"/>
      <c r="I4" s="26"/>
      <c r="J4" s="40"/>
      <c r="K4" s="26"/>
      <c r="L4" s="26"/>
      <c r="M4" s="26"/>
      <c r="N4" s="26"/>
      <c r="O4" s="26"/>
      <c r="P4" s="26"/>
      <c r="Q4" s="26"/>
    </row>
    <row r="5" spans="1:17" ht="12.75">
      <c r="A5" s="26"/>
      <c r="B5" s="26"/>
      <c r="C5" s="26"/>
      <c r="D5" s="40"/>
      <c r="E5" s="26"/>
      <c r="F5" s="40" t="s">
        <v>76</v>
      </c>
      <c r="G5" s="26"/>
      <c r="H5" s="26" t="s">
        <v>41</v>
      </c>
      <c r="I5" s="26"/>
      <c r="J5" s="40" t="s">
        <v>33</v>
      </c>
      <c r="K5" s="26"/>
      <c r="L5" s="26" t="s">
        <v>43</v>
      </c>
      <c r="M5" s="26"/>
      <c r="N5" s="26" t="s">
        <v>46</v>
      </c>
      <c r="O5" s="26"/>
      <c r="P5" s="26" t="s">
        <v>35</v>
      </c>
      <c r="Q5" s="26"/>
    </row>
    <row r="6" spans="1:17" ht="12.75">
      <c r="A6" s="44" t="str">
        <f>Mark!A6</f>
        <v>Hovedafgrøder</v>
      </c>
      <c r="B6" s="40" t="s">
        <v>32</v>
      </c>
      <c r="C6" s="26" t="s">
        <v>26</v>
      </c>
      <c r="D6" s="40" t="s">
        <v>8</v>
      </c>
      <c r="E6" s="26"/>
      <c r="F6" s="40" t="s">
        <v>77</v>
      </c>
      <c r="G6" s="26"/>
      <c r="H6" s="26" t="s">
        <v>25</v>
      </c>
      <c r="I6" s="26"/>
      <c r="J6" s="40" t="s">
        <v>13</v>
      </c>
      <c r="K6" s="26"/>
      <c r="L6" s="26" t="s">
        <v>4</v>
      </c>
      <c r="M6" s="26"/>
      <c r="N6" s="26" t="s">
        <v>34</v>
      </c>
      <c r="O6" s="26"/>
      <c r="P6" s="26" t="s">
        <v>36</v>
      </c>
      <c r="Q6" s="26"/>
    </row>
    <row r="7" spans="1:17" ht="12.75">
      <c r="A7" s="26" t="str">
        <f>Mark!$A$7</f>
        <v>Frøgræs</v>
      </c>
      <c r="B7" s="132">
        <v>12</v>
      </c>
      <c r="C7" s="26" t="s">
        <v>3</v>
      </c>
      <c r="D7" s="130">
        <v>5</v>
      </c>
      <c r="E7" s="26" t="s">
        <v>3</v>
      </c>
      <c r="F7" s="63">
        <f aca="true" t="shared" si="0" ref="F7:F12">B7*D7</f>
        <v>60</v>
      </c>
      <c r="G7" s="26"/>
      <c r="H7" s="133">
        <v>400</v>
      </c>
      <c r="I7" s="26" t="s">
        <v>3</v>
      </c>
      <c r="J7" s="124">
        <v>120</v>
      </c>
      <c r="K7" s="26"/>
      <c r="L7" s="9">
        <f aca="true" t="shared" si="1" ref="L7:L12">H7+(D7*J7)</f>
        <v>1000</v>
      </c>
      <c r="M7" s="26" t="s">
        <v>3</v>
      </c>
      <c r="N7" s="134">
        <v>400</v>
      </c>
      <c r="O7" s="26"/>
      <c r="P7" s="134">
        <v>2000</v>
      </c>
      <c r="Q7" s="26"/>
    </row>
    <row r="8" spans="1:17" ht="12.75">
      <c r="A8" s="26" t="str">
        <f>Mark!$A$8</f>
        <v>korn</v>
      </c>
      <c r="B8" s="132">
        <v>1.5</v>
      </c>
      <c r="C8" s="26" t="s">
        <v>3</v>
      </c>
      <c r="D8" s="130">
        <v>24</v>
      </c>
      <c r="E8" s="26" t="s">
        <v>3</v>
      </c>
      <c r="F8" s="63">
        <f t="shared" si="0"/>
        <v>36</v>
      </c>
      <c r="G8" s="26"/>
      <c r="H8" s="133">
        <v>3000</v>
      </c>
      <c r="I8" s="26" t="s">
        <v>3</v>
      </c>
      <c r="J8" s="124">
        <v>100</v>
      </c>
      <c r="K8" s="26"/>
      <c r="L8" s="9">
        <f t="shared" si="1"/>
        <v>5400</v>
      </c>
      <c r="M8" s="26" t="s">
        <v>3</v>
      </c>
      <c r="N8" s="134">
        <v>700</v>
      </c>
      <c r="O8" s="26"/>
      <c r="P8" s="134">
        <v>2500</v>
      </c>
      <c r="Q8" s="26"/>
    </row>
    <row r="9" spans="1:17" ht="12.75">
      <c r="A9" s="26" t="str">
        <f>Mark!$A$9</f>
        <v>kløvergræs</v>
      </c>
      <c r="B9" s="132">
        <v>0.65</v>
      </c>
      <c r="C9" s="26" t="s">
        <v>27</v>
      </c>
      <c r="D9" s="130">
        <v>8</v>
      </c>
      <c r="E9" s="26" t="s">
        <v>27</v>
      </c>
      <c r="F9" s="63">
        <f t="shared" si="0"/>
        <v>5.2</v>
      </c>
      <c r="G9" s="26"/>
      <c r="H9" s="133">
        <v>5000</v>
      </c>
      <c r="I9" s="26" t="s">
        <v>27</v>
      </c>
      <c r="J9" s="124">
        <v>180</v>
      </c>
      <c r="K9" s="26"/>
      <c r="L9" s="9">
        <f t="shared" si="1"/>
        <v>6440</v>
      </c>
      <c r="M9" s="26" t="s">
        <v>27</v>
      </c>
      <c r="N9" s="134">
        <v>700</v>
      </c>
      <c r="O9" s="26"/>
      <c r="P9" s="134">
        <v>1000</v>
      </c>
      <c r="Q9" s="26"/>
    </row>
    <row r="10" spans="1:17" ht="12.75">
      <c r="A10" s="26" t="str">
        <f>Mark!$A$10</f>
        <v>Græs/vedv. græs</v>
      </c>
      <c r="B10" s="132">
        <v>0.65</v>
      </c>
      <c r="C10" s="26" t="s">
        <v>27</v>
      </c>
      <c r="D10" s="130">
        <v>10</v>
      </c>
      <c r="E10" s="26" t="s">
        <v>27</v>
      </c>
      <c r="F10" s="63">
        <f t="shared" si="0"/>
        <v>6.5</v>
      </c>
      <c r="G10" s="26"/>
      <c r="H10" s="133">
        <v>2000</v>
      </c>
      <c r="I10" s="26" t="s">
        <v>27</v>
      </c>
      <c r="J10" s="124">
        <v>100</v>
      </c>
      <c r="K10" s="26"/>
      <c r="L10" s="9">
        <f t="shared" si="1"/>
        <v>3000</v>
      </c>
      <c r="M10" s="26" t="s">
        <v>27</v>
      </c>
      <c r="N10" s="134">
        <v>50</v>
      </c>
      <c r="O10" s="26"/>
      <c r="P10" s="134">
        <v>500</v>
      </c>
      <c r="Q10" s="26"/>
    </row>
    <row r="11" spans="1:17" ht="12.75">
      <c r="A11" s="26" t="str">
        <f>Mark!$A$11</f>
        <v>Bælgsæd</v>
      </c>
      <c r="B11" s="132">
        <v>2</v>
      </c>
      <c r="C11" s="26" t="s">
        <v>42</v>
      </c>
      <c r="D11" s="130">
        <v>0</v>
      </c>
      <c r="E11" s="26" t="s">
        <v>42</v>
      </c>
      <c r="F11" s="63">
        <f t="shared" si="0"/>
        <v>0</v>
      </c>
      <c r="G11" s="26"/>
      <c r="H11" s="133">
        <v>3000</v>
      </c>
      <c r="I11" s="26" t="s">
        <v>42</v>
      </c>
      <c r="J11" s="124"/>
      <c r="K11" s="26"/>
      <c r="L11" s="9">
        <f t="shared" si="1"/>
        <v>3000</v>
      </c>
      <c r="M11" s="26" t="s">
        <v>42</v>
      </c>
      <c r="N11" s="134">
        <v>1000</v>
      </c>
      <c r="O11" s="26"/>
      <c r="P11" s="134">
        <v>2500</v>
      </c>
      <c r="Q11" s="26"/>
    </row>
    <row r="12" spans="1:17" ht="12.75">
      <c r="A12" s="142"/>
      <c r="B12" s="132"/>
      <c r="C12" s="142"/>
      <c r="D12" s="130"/>
      <c r="E12" s="29">
        <f>C12</f>
        <v>0</v>
      </c>
      <c r="F12" s="63">
        <f t="shared" si="0"/>
        <v>0</v>
      </c>
      <c r="G12" s="26"/>
      <c r="H12" s="133"/>
      <c r="I12" s="26">
        <f>C12</f>
        <v>0</v>
      </c>
      <c r="J12" s="124"/>
      <c r="K12" s="26"/>
      <c r="L12" s="9">
        <f t="shared" si="1"/>
        <v>0</v>
      </c>
      <c r="M12" s="26">
        <f>C12</f>
        <v>0</v>
      </c>
      <c r="N12" s="134"/>
      <c r="O12" s="26"/>
      <c r="P12" s="134"/>
      <c r="Q12" s="26"/>
    </row>
    <row r="13" spans="1:17" ht="12.75">
      <c r="A13" s="170"/>
      <c r="B13" s="171"/>
      <c r="C13" s="170"/>
      <c r="D13" s="172"/>
      <c r="E13" s="29"/>
      <c r="F13" s="173"/>
      <c r="G13" s="26"/>
      <c r="H13" s="174"/>
      <c r="I13" s="26"/>
      <c r="J13" s="175"/>
      <c r="K13" s="26"/>
      <c r="L13" s="89"/>
      <c r="M13" s="26"/>
      <c r="N13" s="176"/>
      <c r="O13" s="26"/>
      <c r="P13" s="176"/>
      <c r="Q13" s="26"/>
    </row>
    <row r="14" spans="1:17" ht="12.75">
      <c r="A14" s="170"/>
      <c r="B14" s="171"/>
      <c r="C14" s="170"/>
      <c r="D14" s="172"/>
      <c r="E14" s="29"/>
      <c r="F14" s="173"/>
      <c r="G14" s="26"/>
      <c r="H14" s="174"/>
      <c r="I14" s="26"/>
      <c r="J14" s="175"/>
      <c r="K14" s="26"/>
      <c r="L14" s="89"/>
      <c r="M14" s="26"/>
      <c r="N14" s="176"/>
      <c r="O14" s="26"/>
      <c r="P14" s="176"/>
      <c r="Q14" s="26"/>
    </row>
    <row r="15" spans="1:17" ht="12.75">
      <c r="A15" s="44" t="str">
        <f>Mark!A15</f>
        <v>Efterafgrøder</v>
      </c>
      <c r="B15" s="26"/>
      <c r="C15" s="26"/>
      <c r="D15" s="26"/>
      <c r="E15" s="26"/>
      <c r="F15" s="64"/>
      <c r="G15" s="26"/>
      <c r="H15" s="26"/>
      <c r="I15" s="26"/>
      <c r="J15" s="40"/>
      <c r="K15" s="26"/>
      <c r="L15" s="26"/>
      <c r="M15" s="26"/>
      <c r="N15" s="107"/>
      <c r="O15" s="26"/>
      <c r="P15" s="107"/>
      <c r="Q15" s="26"/>
    </row>
    <row r="16" spans="1:17" ht="12.75">
      <c r="A16" s="187" t="s">
        <v>111</v>
      </c>
      <c r="B16" s="132"/>
      <c r="C16" s="142"/>
      <c r="D16" s="130"/>
      <c r="E16" s="29">
        <f>C16</f>
        <v>0</v>
      </c>
      <c r="F16" s="63">
        <f>B16*D16</f>
        <v>0</v>
      </c>
      <c r="G16" s="26"/>
      <c r="H16" s="124"/>
      <c r="I16" s="26">
        <f>C16</f>
        <v>0</v>
      </c>
      <c r="J16" s="124"/>
      <c r="K16" s="26"/>
      <c r="L16" s="9">
        <f>H16+(D16*J16)</f>
        <v>0</v>
      </c>
      <c r="M16" s="26">
        <f>C16</f>
        <v>0</v>
      </c>
      <c r="N16" s="134"/>
      <c r="O16" s="26"/>
      <c r="P16" s="134"/>
      <c r="Q16" s="26"/>
    </row>
    <row r="17" spans="1:17" ht="12.75">
      <c r="A17" s="187" t="s">
        <v>112</v>
      </c>
      <c r="B17" s="132"/>
      <c r="C17" s="142"/>
      <c r="D17" s="130"/>
      <c r="E17" s="26">
        <f>C17</f>
        <v>0</v>
      </c>
      <c r="F17" s="74">
        <f>B17*D17</f>
        <v>0</v>
      </c>
      <c r="G17" s="26"/>
      <c r="H17" s="124"/>
      <c r="I17" s="26">
        <f>C17</f>
        <v>0</v>
      </c>
      <c r="J17" s="124"/>
      <c r="K17" s="26"/>
      <c r="L17" s="72">
        <v>800</v>
      </c>
      <c r="M17" s="26">
        <f>C17</f>
        <v>0</v>
      </c>
      <c r="N17" s="124"/>
      <c r="O17" s="26"/>
      <c r="P17" s="124"/>
      <c r="Q17" s="26"/>
    </row>
    <row r="18" spans="1:17" s="27" customFormat="1" ht="13.5" thickBot="1">
      <c r="A18" s="28"/>
      <c r="B18" s="28"/>
      <c r="C18" s="28"/>
      <c r="D18" s="67"/>
      <c r="E18" s="28"/>
      <c r="F18" s="28"/>
      <c r="G18" s="28"/>
      <c r="H18" s="28"/>
      <c r="I18" s="28"/>
      <c r="J18" s="67"/>
      <c r="K18" s="28"/>
      <c r="L18" s="28"/>
      <c r="M18" s="28"/>
      <c r="N18" s="28"/>
      <c r="O18" s="28"/>
      <c r="P18" s="28"/>
      <c r="Q18" s="28"/>
    </row>
    <row r="19" spans="1:17" ht="12.75">
      <c r="A19" s="45"/>
      <c r="B19" s="45"/>
      <c r="C19" s="49"/>
      <c r="D19" s="52"/>
      <c r="E19" s="45"/>
      <c r="F19" s="45"/>
      <c r="G19" s="45"/>
      <c r="H19" s="45"/>
      <c r="I19" s="45"/>
      <c r="J19" s="49"/>
      <c r="K19" s="45"/>
      <c r="L19" s="45"/>
      <c r="M19" s="45"/>
      <c r="N19" s="45"/>
      <c r="O19" s="45"/>
      <c r="P19" s="45"/>
      <c r="Q19" s="45"/>
    </row>
    <row r="20" spans="1:17" ht="15.75">
      <c r="A20" s="46" t="s">
        <v>114</v>
      </c>
      <c r="B20" s="45"/>
      <c r="C20" s="49"/>
      <c r="D20" s="52"/>
      <c r="E20" s="45"/>
      <c r="F20" s="45"/>
      <c r="G20" s="45"/>
      <c r="H20" s="45"/>
      <c r="I20" s="45"/>
      <c r="J20" s="49"/>
      <c r="K20" s="45"/>
      <c r="L20" s="45"/>
      <c r="M20" s="45"/>
      <c r="N20" s="45"/>
      <c r="O20" s="45"/>
      <c r="P20" s="45"/>
      <c r="Q20" s="45"/>
    </row>
    <row r="21" spans="1:17" ht="15.75" hidden="1">
      <c r="A21" s="46"/>
      <c r="B21" s="45"/>
      <c r="C21" s="49"/>
      <c r="D21" s="52"/>
      <c r="E21" s="45"/>
      <c r="F21" s="45"/>
      <c r="G21" s="45"/>
      <c r="H21" s="45"/>
      <c r="I21" s="45"/>
      <c r="J21" s="49"/>
      <c r="K21" s="45"/>
      <c r="L21" s="45"/>
      <c r="M21" s="45"/>
      <c r="N21" s="45"/>
      <c r="O21" s="45"/>
      <c r="P21" s="45"/>
      <c r="Q21" s="45"/>
    </row>
    <row r="22" spans="1:17" ht="15.75" hidden="1">
      <c r="A22" s="46"/>
      <c r="B22" s="45"/>
      <c r="C22" s="49"/>
      <c r="D22" s="52"/>
      <c r="E22" s="45"/>
      <c r="F22" s="45"/>
      <c r="G22" s="45"/>
      <c r="H22" s="45"/>
      <c r="I22" s="45"/>
      <c r="J22" s="49"/>
      <c r="K22" s="45"/>
      <c r="L22" s="45"/>
      <c r="M22" s="45"/>
      <c r="N22" s="45"/>
      <c r="O22" s="45"/>
      <c r="P22" s="45"/>
      <c r="Q22" s="45"/>
    </row>
    <row r="23" spans="1:17" ht="15.75" hidden="1">
      <c r="A23" s="46"/>
      <c r="B23" s="45"/>
      <c r="C23" s="49"/>
      <c r="D23" s="52"/>
      <c r="E23" s="45"/>
      <c r="F23" s="45"/>
      <c r="G23" s="45"/>
      <c r="H23" s="45"/>
      <c r="I23" s="45"/>
      <c r="J23" s="49"/>
      <c r="K23" s="45"/>
      <c r="L23" s="45"/>
      <c r="M23" s="45"/>
      <c r="N23" s="45"/>
      <c r="O23" s="45"/>
      <c r="P23" s="45"/>
      <c r="Q23" s="45"/>
    </row>
    <row r="24" spans="1:17" ht="15.75" hidden="1">
      <c r="A24" s="46"/>
      <c r="B24" s="45"/>
      <c r="C24" s="49"/>
      <c r="D24" s="52"/>
      <c r="E24" s="45"/>
      <c r="F24" s="45"/>
      <c r="G24" s="45"/>
      <c r="H24" s="45"/>
      <c r="I24" s="45"/>
      <c r="J24" s="49"/>
      <c r="K24" s="45"/>
      <c r="L24" s="45"/>
      <c r="M24" s="45"/>
      <c r="N24" s="45"/>
      <c r="O24" s="45"/>
      <c r="P24" s="45"/>
      <c r="Q24" s="45"/>
    </row>
    <row r="25" spans="1:17" ht="12.75">
      <c r="A25" s="45"/>
      <c r="B25" s="45"/>
      <c r="C25" s="45"/>
      <c r="D25" s="49"/>
      <c r="E25" s="45"/>
      <c r="F25" s="49" t="s">
        <v>76</v>
      </c>
      <c r="G25" s="45"/>
      <c r="H25" s="45" t="s">
        <v>41</v>
      </c>
      <c r="I25" s="45"/>
      <c r="J25" s="49" t="s">
        <v>33</v>
      </c>
      <c r="K25" s="45"/>
      <c r="L25" s="45" t="s">
        <v>43</v>
      </c>
      <c r="M25" s="45"/>
      <c r="N25" s="45" t="s">
        <v>46</v>
      </c>
      <c r="O25" s="45"/>
      <c r="P25" s="45" t="s">
        <v>35</v>
      </c>
      <c r="Q25" s="45"/>
    </row>
    <row r="26" spans="1:17" ht="12.75">
      <c r="A26" s="48" t="str">
        <f>Mark!A27</f>
        <v>Hovedafgrøder</v>
      </c>
      <c r="B26" s="49" t="s">
        <v>32</v>
      </c>
      <c r="C26" s="45" t="s">
        <v>26</v>
      </c>
      <c r="D26" s="49" t="s">
        <v>8</v>
      </c>
      <c r="E26" s="45"/>
      <c r="F26" s="49" t="s">
        <v>77</v>
      </c>
      <c r="G26" s="45"/>
      <c r="H26" s="45" t="s">
        <v>25</v>
      </c>
      <c r="I26" s="45"/>
      <c r="J26" s="49" t="s">
        <v>13</v>
      </c>
      <c r="K26" s="45"/>
      <c r="L26" s="45" t="s">
        <v>4</v>
      </c>
      <c r="M26" s="45"/>
      <c r="N26" s="45" t="s">
        <v>34</v>
      </c>
      <c r="O26" s="45"/>
      <c r="P26" s="45" t="s">
        <v>36</v>
      </c>
      <c r="Q26" s="45"/>
    </row>
    <row r="27" spans="1:17" ht="12.75">
      <c r="A27" s="45" t="str">
        <f>Mark!A28</f>
        <v>Frøgræs</v>
      </c>
      <c r="B27" s="35">
        <f>B7</f>
        <v>12</v>
      </c>
      <c r="C27" s="45" t="s">
        <v>3</v>
      </c>
      <c r="D27" s="34">
        <f>D7</f>
        <v>5</v>
      </c>
      <c r="E27" s="45" t="s">
        <v>3</v>
      </c>
      <c r="F27" s="63">
        <f>B27*D27</f>
        <v>60</v>
      </c>
      <c r="G27" s="45"/>
      <c r="H27" s="9">
        <f>H7</f>
        <v>400</v>
      </c>
      <c r="I27" s="45" t="s">
        <v>3</v>
      </c>
      <c r="J27" s="36">
        <f>J7</f>
        <v>120</v>
      </c>
      <c r="K27" s="45"/>
      <c r="L27" s="9">
        <f aca="true" t="shared" si="2" ref="L27:L34">H27+(D27*J27)</f>
        <v>1000</v>
      </c>
      <c r="M27" s="45" t="s">
        <v>3</v>
      </c>
      <c r="N27" s="37">
        <f>N7</f>
        <v>400</v>
      </c>
      <c r="O27" s="45"/>
      <c r="P27" s="37">
        <f>P7</f>
        <v>2000</v>
      </c>
      <c r="Q27" s="45"/>
    </row>
    <row r="28" spans="1:17" ht="12.75">
      <c r="A28" s="45" t="str">
        <f>Mark!A29</f>
        <v>korn</v>
      </c>
      <c r="B28" s="35">
        <f>B8</f>
        <v>1.5</v>
      </c>
      <c r="C28" s="45" t="s">
        <v>3</v>
      </c>
      <c r="D28" s="34">
        <f>D8</f>
        <v>24</v>
      </c>
      <c r="E28" s="45" t="s">
        <v>3</v>
      </c>
      <c r="F28" s="63">
        <f aca="true" t="shared" si="3" ref="F28:F34">B28*D28</f>
        <v>36</v>
      </c>
      <c r="G28" s="45"/>
      <c r="H28" s="9">
        <f>H8</f>
        <v>3000</v>
      </c>
      <c r="I28" s="45" t="s">
        <v>3</v>
      </c>
      <c r="J28" s="36">
        <f>J8</f>
        <v>100</v>
      </c>
      <c r="K28" s="45"/>
      <c r="L28" s="9">
        <f t="shared" si="2"/>
        <v>5400</v>
      </c>
      <c r="M28" s="45" t="s">
        <v>3</v>
      </c>
      <c r="N28" s="37">
        <f>N8</f>
        <v>700</v>
      </c>
      <c r="O28" s="45"/>
      <c r="P28" s="37">
        <f>P8</f>
        <v>2500</v>
      </c>
      <c r="Q28" s="45"/>
    </row>
    <row r="29" spans="1:17" ht="12.75">
      <c r="A29" s="45" t="str">
        <f>Mark!A30</f>
        <v>kløvergræs</v>
      </c>
      <c r="B29" s="35">
        <f>B9</f>
        <v>0.65</v>
      </c>
      <c r="C29" s="45" t="s">
        <v>27</v>
      </c>
      <c r="D29" s="34">
        <f>D9</f>
        <v>8</v>
      </c>
      <c r="E29" s="45" t="s">
        <v>27</v>
      </c>
      <c r="F29" s="63">
        <f t="shared" si="3"/>
        <v>5.2</v>
      </c>
      <c r="G29" s="45"/>
      <c r="H29" s="9">
        <f>H9</f>
        <v>5000</v>
      </c>
      <c r="I29" s="45" t="s">
        <v>27</v>
      </c>
      <c r="J29" s="36">
        <f>J9</f>
        <v>180</v>
      </c>
      <c r="K29" s="45"/>
      <c r="L29" s="9">
        <f t="shared" si="2"/>
        <v>6440</v>
      </c>
      <c r="M29" s="45" t="s">
        <v>27</v>
      </c>
      <c r="N29" s="37">
        <f>N9</f>
        <v>700</v>
      </c>
      <c r="O29" s="45"/>
      <c r="P29" s="37">
        <f>P9</f>
        <v>1000</v>
      </c>
      <c r="Q29" s="45"/>
    </row>
    <row r="30" spans="1:17" ht="12.75">
      <c r="A30" s="45" t="str">
        <f>Mark!A31</f>
        <v>Biogas Kløvergræs</v>
      </c>
      <c r="B30" s="132">
        <v>0.65</v>
      </c>
      <c r="C30" s="45" t="s">
        <v>27</v>
      </c>
      <c r="D30" s="130">
        <f>D9</f>
        <v>8</v>
      </c>
      <c r="E30" s="45" t="s">
        <v>27</v>
      </c>
      <c r="F30" s="63">
        <f t="shared" si="3"/>
        <v>5.2</v>
      </c>
      <c r="G30" s="45"/>
      <c r="H30" s="133">
        <v>5000</v>
      </c>
      <c r="I30" s="45" t="s">
        <v>27</v>
      </c>
      <c r="J30" s="36">
        <f>J9</f>
        <v>180</v>
      </c>
      <c r="K30" s="45"/>
      <c r="L30" s="9">
        <f t="shared" si="2"/>
        <v>6440</v>
      </c>
      <c r="M30" s="45" t="s">
        <v>27</v>
      </c>
      <c r="N30" s="134">
        <v>700</v>
      </c>
      <c r="O30" s="45"/>
      <c r="P30" s="134">
        <v>1000</v>
      </c>
      <c r="Q30" s="45"/>
    </row>
    <row r="31" spans="1:17" ht="12.75">
      <c r="A31" s="45" t="str">
        <f>Mark!A32</f>
        <v>Græs/vedv. græs</v>
      </c>
      <c r="B31" s="35">
        <f>B10</f>
        <v>0.65</v>
      </c>
      <c r="C31" s="45" t="s">
        <v>27</v>
      </c>
      <c r="D31" s="34">
        <f>D10</f>
        <v>10</v>
      </c>
      <c r="E31" s="45" t="s">
        <v>27</v>
      </c>
      <c r="F31" s="63">
        <f t="shared" si="3"/>
        <v>6.5</v>
      </c>
      <c r="G31" s="45"/>
      <c r="H31" s="9">
        <f>H10</f>
        <v>2000</v>
      </c>
      <c r="I31" s="45" t="s">
        <v>27</v>
      </c>
      <c r="J31" s="36">
        <f>J10</f>
        <v>100</v>
      </c>
      <c r="K31" s="45"/>
      <c r="L31" s="9">
        <f t="shared" si="2"/>
        <v>3000</v>
      </c>
      <c r="M31" s="45" t="s">
        <v>27</v>
      </c>
      <c r="N31" s="37">
        <f>N10</f>
        <v>50</v>
      </c>
      <c r="O31" s="45"/>
      <c r="P31" s="37">
        <f>P10</f>
        <v>500</v>
      </c>
      <c r="Q31" s="45"/>
    </row>
    <row r="32" spans="1:17" ht="12.75">
      <c r="A32" s="45" t="str">
        <f>Mark!A33</f>
        <v>Biogas Græa/vedv. græs</v>
      </c>
      <c r="B32" s="132">
        <v>0.65</v>
      </c>
      <c r="C32" s="45" t="s">
        <v>27</v>
      </c>
      <c r="D32" s="130">
        <f>D10</f>
        <v>10</v>
      </c>
      <c r="E32" s="45" t="s">
        <v>27</v>
      </c>
      <c r="F32" s="63">
        <f t="shared" si="3"/>
        <v>6.5</v>
      </c>
      <c r="G32" s="45"/>
      <c r="H32" s="133">
        <v>2000</v>
      </c>
      <c r="I32" s="45" t="s">
        <v>27</v>
      </c>
      <c r="J32" s="36">
        <f>J10</f>
        <v>100</v>
      </c>
      <c r="K32" s="45"/>
      <c r="L32" s="9">
        <f t="shared" si="2"/>
        <v>3000</v>
      </c>
      <c r="M32" s="45" t="s">
        <v>27</v>
      </c>
      <c r="N32" s="134">
        <v>50</v>
      </c>
      <c r="O32" s="45"/>
      <c r="P32" s="134">
        <v>500</v>
      </c>
      <c r="Q32" s="45"/>
    </row>
    <row r="33" spans="1:17" ht="12.75">
      <c r="A33" s="45" t="str">
        <f>Mark!A34</f>
        <v>Bælgsæd</v>
      </c>
      <c r="B33" s="35">
        <f>B11</f>
        <v>2</v>
      </c>
      <c r="C33" s="45" t="s">
        <v>42</v>
      </c>
      <c r="D33" s="34">
        <f>D11</f>
        <v>0</v>
      </c>
      <c r="E33" s="45" t="s">
        <v>42</v>
      </c>
      <c r="F33" s="63">
        <f t="shared" si="3"/>
        <v>0</v>
      </c>
      <c r="G33" s="45"/>
      <c r="H33" s="9">
        <f>H11</f>
        <v>3000</v>
      </c>
      <c r="I33" s="45" t="s">
        <v>42</v>
      </c>
      <c r="J33" s="36">
        <f>J11</f>
        <v>0</v>
      </c>
      <c r="K33" s="45"/>
      <c r="L33" s="9">
        <f t="shared" si="2"/>
        <v>3000</v>
      </c>
      <c r="M33" s="45" t="s">
        <v>42</v>
      </c>
      <c r="N33" s="37">
        <f>N11</f>
        <v>1000</v>
      </c>
      <c r="O33" s="45"/>
      <c r="P33" s="37">
        <f>P11</f>
        <v>2500</v>
      </c>
      <c r="Q33" s="45"/>
    </row>
    <row r="34" spans="1:17" ht="12.75">
      <c r="A34" s="142"/>
      <c r="B34" s="132"/>
      <c r="C34" s="142"/>
      <c r="D34" s="130"/>
      <c r="E34" s="45">
        <f>C34</f>
        <v>0</v>
      </c>
      <c r="F34" s="63">
        <f t="shared" si="3"/>
        <v>0</v>
      </c>
      <c r="G34" s="45"/>
      <c r="H34" s="133"/>
      <c r="I34" s="45">
        <f>C34</f>
        <v>0</v>
      </c>
      <c r="J34" s="124"/>
      <c r="K34" s="45"/>
      <c r="L34" s="9">
        <f t="shared" si="2"/>
        <v>0</v>
      </c>
      <c r="M34" s="45">
        <f>C34</f>
        <v>0</v>
      </c>
      <c r="N34" s="134"/>
      <c r="O34" s="45"/>
      <c r="P34" s="134"/>
      <c r="Q34" s="45"/>
    </row>
    <row r="35" spans="1:17" ht="12.75">
      <c r="A35" s="45"/>
      <c r="B35" s="45"/>
      <c r="C35" s="45"/>
      <c r="D35" s="45"/>
      <c r="E35" s="45"/>
      <c r="F35" s="45"/>
      <c r="G35" s="45"/>
      <c r="H35" s="45"/>
      <c r="I35" s="45"/>
      <c r="J35" s="49"/>
      <c r="K35" s="45"/>
      <c r="L35" s="45"/>
      <c r="M35" s="45"/>
      <c r="N35" s="108"/>
      <c r="O35" s="45"/>
      <c r="P35" s="108"/>
      <c r="Q35" s="45"/>
    </row>
    <row r="36" spans="1:17" ht="12.75">
      <c r="A36" s="48" t="str">
        <f>Mark!A38</f>
        <v>Efterafgrøder</v>
      </c>
      <c r="B36" s="45"/>
      <c r="C36" s="45"/>
      <c r="D36" s="45"/>
      <c r="E36" s="45"/>
      <c r="F36" s="45"/>
      <c r="G36" s="45"/>
      <c r="H36" s="45"/>
      <c r="I36" s="45"/>
      <c r="J36" s="49"/>
      <c r="K36" s="45"/>
      <c r="L36" s="45"/>
      <c r="M36" s="45"/>
      <c r="N36" s="108"/>
      <c r="O36" s="45"/>
      <c r="P36" s="108"/>
      <c r="Q36" s="45"/>
    </row>
    <row r="37" spans="1:17" ht="12.75">
      <c r="A37" s="45" t="str">
        <f>Mark!A39</f>
        <v>Efterafgrøde 1</v>
      </c>
      <c r="B37" s="35">
        <f aca="true" t="shared" si="4" ref="B37:E38">B16</f>
        <v>0</v>
      </c>
      <c r="C37" s="45">
        <f t="shared" si="4"/>
        <v>0</v>
      </c>
      <c r="D37" s="34">
        <f t="shared" si="4"/>
        <v>0</v>
      </c>
      <c r="E37" s="45">
        <f t="shared" si="4"/>
        <v>0</v>
      </c>
      <c r="F37" s="63">
        <f>B37*D37</f>
        <v>0</v>
      </c>
      <c r="G37" s="45"/>
      <c r="H37" s="36">
        <f aca="true" t="shared" si="5" ref="H37:J38">H16</f>
        <v>0</v>
      </c>
      <c r="I37" s="45">
        <f t="shared" si="5"/>
        <v>0</v>
      </c>
      <c r="J37" s="36">
        <f t="shared" si="5"/>
        <v>0</v>
      </c>
      <c r="K37" s="45"/>
      <c r="L37" s="9">
        <f>H37+(D37*J37)</f>
        <v>0</v>
      </c>
      <c r="M37" s="45">
        <f>M16</f>
        <v>0</v>
      </c>
      <c r="N37" s="37">
        <f>N16</f>
        <v>0</v>
      </c>
      <c r="O37" s="49"/>
      <c r="P37" s="37">
        <f>P16</f>
        <v>0</v>
      </c>
      <c r="Q37" s="45"/>
    </row>
    <row r="38" spans="1:17" ht="12.75">
      <c r="A38" s="45" t="str">
        <f>Mark!A40</f>
        <v>Efterafgrøde 2</v>
      </c>
      <c r="B38" s="35">
        <f t="shared" si="4"/>
        <v>0</v>
      </c>
      <c r="C38" s="45">
        <f t="shared" si="4"/>
        <v>0</v>
      </c>
      <c r="D38" s="34">
        <f t="shared" si="4"/>
        <v>0</v>
      </c>
      <c r="E38" s="45">
        <f t="shared" si="4"/>
        <v>0</v>
      </c>
      <c r="F38" s="63">
        <f>B38*D38</f>
        <v>0</v>
      </c>
      <c r="G38" s="45"/>
      <c r="H38" s="36">
        <f t="shared" si="5"/>
        <v>0</v>
      </c>
      <c r="I38" s="45">
        <f t="shared" si="5"/>
        <v>0</v>
      </c>
      <c r="J38" s="36">
        <f t="shared" si="5"/>
        <v>0</v>
      </c>
      <c r="K38" s="45"/>
      <c r="L38" s="9">
        <f>H38+(D38*J38)</f>
        <v>0</v>
      </c>
      <c r="M38" s="45">
        <f>M17</f>
        <v>0</v>
      </c>
      <c r="N38" s="37">
        <f>N17</f>
        <v>0</v>
      </c>
      <c r="O38" s="49"/>
      <c r="P38" s="37">
        <f>P17</f>
        <v>0</v>
      </c>
      <c r="Q38" s="45"/>
    </row>
    <row r="39" spans="1:17" ht="12.75">
      <c r="A39" s="45" t="str">
        <f>Mark!A41</f>
        <v>Biogas efterafgrøde 1</v>
      </c>
      <c r="B39" s="132">
        <v>0</v>
      </c>
      <c r="C39" s="142" t="s">
        <v>3</v>
      </c>
      <c r="D39" s="130"/>
      <c r="E39" s="45" t="str">
        <f>C39</f>
        <v>kg</v>
      </c>
      <c r="F39" s="63">
        <f>B39*D39</f>
        <v>0</v>
      </c>
      <c r="G39" s="45"/>
      <c r="H39" s="124">
        <v>600</v>
      </c>
      <c r="I39" s="45" t="str">
        <f>C39</f>
        <v>kg</v>
      </c>
      <c r="J39" s="53">
        <v>0</v>
      </c>
      <c r="K39" s="45"/>
      <c r="L39" s="9">
        <f>H39+(D39*J39)</f>
        <v>600</v>
      </c>
      <c r="M39" s="45" t="str">
        <f>C39</f>
        <v>kg</v>
      </c>
      <c r="N39" s="124">
        <v>100</v>
      </c>
      <c r="O39" s="49"/>
      <c r="P39" s="124">
        <v>400</v>
      </c>
      <c r="Q39" s="45"/>
    </row>
    <row r="40" spans="1:17" ht="12.75">
      <c r="A40" s="45" t="str">
        <f>Mark!A42</f>
        <v>Biogas efterafgrøde 2</v>
      </c>
      <c r="B40" s="132">
        <v>0</v>
      </c>
      <c r="C40" s="142" t="s">
        <v>113</v>
      </c>
      <c r="D40" s="130"/>
      <c r="E40" s="45" t="str">
        <f>C40</f>
        <v>fe</v>
      </c>
      <c r="F40" s="63">
        <f>B40*D40</f>
        <v>0</v>
      </c>
      <c r="G40" s="45"/>
      <c r="H40" s="124">
        <v>400</v>
      </c>
      <c r="I40" s="45" t="str">
        <f>C40</f>
        <v>fe</v>
      </c>
      <c r="J40" s="53"/>
      <c r="K40" s="45"/>
      <c r="L40" s="9">
        <f>H40+(D40*J40)</f>
        <v>400</v>
      </c>
      <c r="M40" s="45" t="str">
        <f>C40</f>
        <v>fe</v>
      </c>
      <c r="N40" s="124">
        <v>200</v>
      </c>
      <c r="O40" s="49"/>
      <c r="P40" s="124">
        <v>700</v>
      </c>
      <c r="Q40" s="45"/>
    </row>
    <row r="41" spans="1:17" ht="12.75">
      <c r="A41" s="45"/>
      <c r="B41" s="45"/>
      <c r="C41" s="45"/>
      <c r="D41" s="52"/>
      <c r="E41" s="45"/>
      <c r="F41" s="45"/>
      <c r="G41" s="45"/>
      <c r="H41" s="45"/>
      <c r="I41" s="45"/>
      <c r="J41" s="49"/>
      <c r="K41" s="45"/>
      <c r="L41" s="45"/>
      <c r="M41" s="45"/>
      <c r="N41" s="45"/>
      <c r="O41" s="45"/>
      <c r="P41" s="45"/>
      <c r="Q41" s="45"/>
    </row>
    <row r="42" spans="1:17" s="27" customFormat="1" ht="13.5" thickBot="1">
      <c r="A42" s="78"/>
      <c r="B42" s="78"/>
      <c r="C42" s="78"/>
      <c r="D42" s="78"/>
      <c r="E42" s="78"/>
      <c r="F42" s="78"/>
      <c r="G42" s="78"/>
      <c r="H42" s="78"/>
      <c r="I42" s="78"/>
      <c r="J42" s="79"/>
      <c r="K42" s="78"/>
      <c r="L42" s="78"/>
      <c r="M42" s="78"/>
      <c r="N42" s="78"/>
      <c r="O42" s="78"/>
      <c r="P42" s="78"/>
      <c r="Q42" s="78"/>
    </row>
    <row r="43" spans="1:6" ht="12.75">
      <c r="A43" s="31"/>
      <c r="B43" s="31"/>
      <c r="C43" s="31"/>
      <c r="D43" s="31"/>
      <c r="E43" s="31"/>
      <c r="F43" s="31"/>
    </row>
    <row r="44" spans="1:6" ht="12.75">
      <c r="A44" s="31"/>
      <c r="B44" s="31"/>
      <c r="C44" s="31"/>
      <c r="D44" s="31"/>
      <c r="E44" s="31"/>
      <c r="F44" s="31"/>
    </row>
    <row r="45" ht="12.75"/>
  </sheetData>
  <sheetProtection/>
  <printOptions/>
  <pageMargins left="0.75" right="0.75" top="1" bottom="1" header="0" footer="0"/>
  <pageSetup fitToHeight="1" fitToWidth="1" horizontalDpi="600" verticalDpi="600" orientation="landscape" paperSize="9" scale="96" r:id="rId3"/>
  <headerFooter alignWithMargins="0">
    <oddHeader>&amp;C&amp;16&amp;A</oddHeader>
    <oddFooter>&amp;C&amp;F  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D12"/>
  <sheetViews>
    <sheetView showGridLines="0" showZeros="0" zoomScalePageLayoutView="0" workbookViewId="0" topLeftCell="A1">
      <selection activeCell="D18" sqref="D18"/>
    </sheetView>
  </sheetViews>
  <sheetFormatPr defaultColWidth="9.140625" defaultRowHeight="12.75"/>
  <cols>
    <col min="1" max="1" width="27.421875" style="0" customWidth="1"/>
    <col min="2" max="2" width="16.57421875" style="0" customWidth="1"/>
    <col min="3" max="3" width="14.00390625" style="1" customWidth="1"/>
    <col min="4" max="4" width="15.00390625" style="0" customWidth="1"/>
  </cols>
  <sheetData>
    <row r="1" ht="12.75"/>
    <row r="2" ht="12.75"/>
    <row r="3" spans="1:2" ht="13.5" thickBot="1">
      <c r="A3" s="10" t="s">
        <v>54</v>
      </c>
      <c r="B3" s="136">
        <v>0.04</v>
      </c>
    </row>
    <row r="4" spans="1:4" ht="12.75">
      <c r="A4" s="114"/>
      <c r="B4" s="115" t="s">
        <v>52</v>
      </c>
      <c r="C4" s="115"/>
      <c r="D4" s="162" t="s">
        <v>53</v>
      </c>
    </row>
    <row r="5" spans="1:4" ht="12.75">
      <c r="A5" s="116" t="s">
        <v>59</v>
      </c>
      <c r="B5" s="117" t="s">
        <v>55</v>
      </c>
      <c r="C5" s="118" t="s">
        <v>107</v>
      </c>
      <c r="D5" s="163" t="s">
        <v>108</v>
      </c>
    </row>
    <row r="6" spans="1:4" ht="12.75">
      <c r="A6" s="137" t="s">
        <v>106</v>
      </c>
      <c r="B6" s="113">
        <v>20</v>
      </c>
      <c r="C6" s="134"/>
      <c r="D6" s="164">
        <f>IF($B6=0,0,PMT($B$3,B6,-C6,0,0))</f>
        <v>0</v>
      </c>
    </row>
    <row r="7" spans="1:4" ht="12.75">
      <c r="A7" s="119"/>
      <c r="B7" s="120"/>
      <c r="C7" s="53"/>
      <c r="D7" s="163"/>
    </row>
    <row r="8" spans="1:4" ht="12.75">
      <c r="A8" s="137" t="s">
        <v>58</v>
      </c>
      <c r="B8" s="113">
        <v>10</v>
      </c>
      <c r="C8" s="134"/>
      <c r="D8" s="164">
        <f>IF($B8=0,0,PMT($B$3,B8,-C8,0,0))</f>
        <v>0</v>
      </c>
    </row>
    <row r="9" spans="1:4" ht="12.75">
      <c r="A9" s="119"/>
      <c r="B9" s="120"/>
      <c r="C9" s="53"/>
      <c r="D9" s="163"/>
    </row>
    <row r="10" spans="1:4" ht="12.75">
      <c r="A10" s="137"/>
      <c r="B10" s="113"/>
      <c r="C10" s="134"/>
      <c r="D10" s="164">
        <f>IF($B10=0,0,PMT($B$3,B10,-C10,0,0))</f>
        <v>0</v>
      </c>
    </row>
    <row r="11" spans="1:4" ht="12.75">
      <c r="A11" s="119"/>
      <c r="B11" s="120"/>
      <c r="C11" s="53"/>
      <c r="D11" s="163"/>
    </row>
    <row r="12" spans="1:4" ht="13.5" thickBot="1">
      <c r="A12" s="121" t="s">
        <v>30</v>
      </c>
      <c r="B12" s="78"/>
      <c r="C12" s="165">
        <f>C6+C8+C10</f>
        <v>0</v>
      </c>
      <c r="D12" s="166">
        <f>D6+D8+D10</f>
        <v>0</v>
      </c>
    </row>
  </sheetData>
  <sheetProtection sheet="1" objects="1" scenarios="1"/>
  <printOptions horizontalCentered="1"/>
  <pageMargins left="0.7874015748031497" right="0.7874015748031497" top="0.984251968503937" bottom="0.984251968503937" header="0" footer="0"/>
  <pageSetup horizontalDpi="600" verticalDpi="600" orientation="landscape" paperSize="9" r:id="rId3"/>
  <headerFooter alignWithMargins="0">
    <oddHeader>&amp;C&amp;16&amp;A</oddHeader>
    <oddFooter>&amp;C&amp;F 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niels</dc:creator>
  <cp:keywords/>
  <dc:description/>
  <cp:lastModifiedBy>Michael Tersbøl</cp:lastModifiedBy>
  <cp:lastPrinted>2010-12-20T10:14:29Z</cp:lastPrinted>
  <dcterms:created xsi:type="dcterms:W3CDTF">2009-02-10T08:13:51Z</dcterms:created>
  <dcterms:modified xsi:type="dcterms:W3CDTF">2010-12-20T10:15:19Z</dcterms:modified>
  <cp:category/>
  <cp:version/>
  <cp:contentType/>
  <cp:contentStatus/>
</cp:coreProperties>
</file>