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tor race" sheetId="1" r:id="rId1"/>
    <sheet name="Jersey" sheetId="2" r:id="rId2"/>
    <sheet name="Ark1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<sst xmlns="http://schemas.openxmlformats.org/spreadsheetml/2006/main" count="199" uniqueCount="81">
  <si>
    <t>Levemåned</t>
  </si>
  <si>
    <t>FE</t>
  </si>
  <si>
    <t>Kg/dag</t>
  </si>
  <si>
    <t>Vedligehold</t>
  </si>
  <si>
    <t>FE/dag</t>
  </si>
  <si>
    <t>Arbejde</t>
  </si>
  <si>
    <t>Tilvækst</t>
  </si>
  <si>
    <t>Vægt ved slut</t>
  </si>
  <si>
    <t>på måned, kg</t>
  </si>
  <si>
    <t>Kr.</t>
  </si>
  <si>
    <t>Udf.,  lager</t>
  </si>
  <si>
    <t>Foder</t>
  </si>
  <si>
    <t>Forretn.+afsk.+</t>
  </si>
  <si>
    <t>vedl. af staldplads</t>
  </si>
  <si>
    <t>Dyrlæge</t>
  </si>
  <si>
    <t>Pr. måned</t>
  </si>
  <si>
    <t>Minutter</t>
  </si>
  <si>
    <t>Kr</t>
  </si>
  <si>
    <t>Avl</t>
  </si>
  <si>
    <t>Forudsætninger:</t>
  </si>
  <si>
    <t>Udfodrings- og lageromkostninger</t>
  </si>
  <si>
    <t>Pr. foderdag</t>
  </si>
  <si>
    <t>Alder ved kælvning:</t>
  </si>
  <si>
    <t>Vægt ved kælvning:</t>
  </si>
  <si>
    <t>mdr.</t>
  </si>
  <si>
    <t>kg</t>
  </si>
  <si>
    <t>gram</t>
  </si>
  <si>
    <t>Daglig tilvækst, kalveperiode:</t>
  </si>
  <si>
    <t>Daglig tilvækst, kvieperiode:</t>
  </si>
  <si>
    <t>kr./FE</t>
  </si>
  <si>
    <t>Grovfoderandel</t>
  </si>
  <si>
    <t>%</t>
  </si>
  <si>
    <t>Alder ved afgang</t>
  </si>
  <si>
    <t>Alder ved indgang</t>
  </si>
  <si>
    <t>Timeløn</t>
  </si>
  <si>
    <t>kr. pr. time</t>
  </si>
  <si>
    <t>Værdi af "kalveplads"</t>
  </si>
  <si>
    <t>Værdi af "kvieplads"</t>
  </si>
  <si>
    <t>kr.</t>
  </si>
  <si>
    <t>Afskrivning og forrentning</t>
  </si>
  <si>
    <t>Forsikring</t>
  </si>
  <si>
    <t>Foderudnyttelse</t>
  </si>
  <si>
    <t>Gns. grovfoderpris (3 mdr. til afgang)</t>
  </si>
  <si>
    <t>Gns. kraftfoderpris (3 mdr. til afgang)</t>
  </si>
  <si>
    <t>Tid til pasning af kalve</t>
  </si>
  <si>
    <t>min./kalv</t>
  </si>
  <si>
    <t>min./kvie</t>
  </si>
  <si>
    <t>kr./kvie</t>
  </si>
  <si>
    <t>GNS pris</t>
  </si>
  <si>
    <t>Klovbeskæring</t>
  </si>
  <si>
    <t>FE pr. kvie pr. dag</t>
  </si>
  <si>
    <t>Gns. pris foder (0-3 mdr.)</t>
  </si>
  <si>
    <t>Omkostninger i alt pr. kvie</t>
  </si>
  <si>
    <t>Gns. vægt</t>
  </si>
  <si>
    <t>Værdi</t>
  </si>
  <si>
    <t>Angivet i:</t>
  </si>
  <si>
    <t>Øvrige udgifter</t>
  </si>
  <si>
    <t>Tid til pasning af kvier</t>
  </si>
  <si>
    <t>Forren., afsk., vedl. og forsik. af bygninger</t>
  </si>
  <si>
    <t>Omkostninger</t>
  </si>
  <si>
    <t>Foderforbrug</t>
  </si>
  <si>
    <t>Vejledning</t>
  </si>
  <si>
    <t>Resultat:</t>
  </si>
  <si>
    <t>FE pr. kvie i alt</t>
  </si>
  <si>
    <t>Behov til drægtighed</t>
  </si>
  <si>
    <t>5.-6.</t>
  </si>
  <si>
    <t>6.-7.</t>
  </si>
  <si>
    <t>7.-8.</t>
  </si>
  <si>
    <t>8.-9.</t>
  </si>
  <si>
    <t>E7-E6</t>
  </si>
  <si>
    <t>Drægtighedsbehov</t>
  </si>
  <si>
    <t>LN vægt</t>
  </si>
  <si>
    <t>minutter</t>
  </si>
  <si>
    <t>vedl. af staldplads kr.</t>
  </si>
  <si>
    <t>inkl. Løsdrift</t>
  </si>
  <si>
    <t>Inkl. Løsdrift</t>
  </si>
  <si>
    <t xml:space="preserve">          -  Der tastes i de gule felter</t>
  </si>
  <si>
    <t xml:space="preserve">          -  Alder ved indgang og afgang vælges</t>
  </si>
  <si>
    <t xml:space="preserve">             vha. rullelister</t>
  </si>
  <si>
    <r>
      <t xml:space="preserve">Beregning af prisen pr. foderdag på kviehotel </t>
    </r>
    <r>
      <rPr>
        <b/>
        <sz val="20"/>
        <color indexed="10"/>
        <rFont val="Arial"/>
        <family val="2"/>
      </rPr>
      <t>(Jersey)</t>
    </r>
  </si>
  <si>
    <r>
      <t xml:space="preserve">Beregning af prisen pr. foderdag på kviehotel </t>
    </r>
    <r>
      <rPr>
        <b/>
        <sz val="20"/>
        <color indexed="10"/>
        <rFont val="Arial"/>
        <family val="2"/>
      </rPr>
      <t>(Stor race)</t>
    </r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</si>
</sst>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"/>
    <numFmt numFmtId="171" formatCode="0.000"/>
    <numFmt numFmtId="172" formatCode="0.0000"/>
    <numFmt numFmtId="173" formatCode="0.000000"/>
    <numFmt numFmtId="174" formatCode="0.00000"/>
    <numFmt numFmtId="175" formatCode="_ &quot;kr&quot;\ * #,##0.0_ ;_ &quot;kr&quot;\ * \-#,##0.0_ ;_ &quot;kr&quot;\ * &quot;-&quot;??_ ;_ @_ "/>
    <numFmt numFmtId="176" formatCode="_ &quot;kr&quot;\ * #,##0_ ;_ &quot;kr&quot;\ * \-#,##0_ ;_ &quot;kr&quot;\ * &quot;-&quot;??_ ;_ @_ "/>
    <numFmt numFmtId="177" formatCode="0.00000000"/>
    <numFmt numFmtId="178" formatCode="0.0000000"/>
    <numFmt numFmtId="179" formatCode="[$-406]d\.\ mmmm\ yyyy"/>
    <numFmt numFmtId="180" formatCode="_ &quot;FE&quot;\ * #,##0_ ;_ &quot;FE&quot;\ * \-#,##0_ ;_ &quot;FE&quot;\ * &quot;-&quot;_ ;_ @_ "/>
    <numFmt numFmtId="181" formatCode="_ &quot;FE&quot;\ * #,##0.0_ ;_ &quot;FE&quot;\ * \-#,##0.0_ ;_ &quot;FE&quot;\ * &quot;-&quot;_ ;_ @_ 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>
        <color rgb="FFFF0000"/>
      </bottom>
    </border>
    <border>
      <left style="thin"/>
      <right style="thin"/>
      <top style="medium"/>
      <bottom style="medium">
        <color rgb="FFFF0000"/>
      </bottom>
    </border>
    <border>
      <left style="thin"/>
      <right>
        <color indexed="63"/>
      </right>
      <top style="medium"/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43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7" fontId="0" fillId="0" borderId="0" xfId="0" applyNumberFormat="1" applyAlignment="1">
      <alignment/>
    </xf>
    <xf numFmtId="2" fontId="45" fillId="0" borderId="0" xfId="0" applyNumberFormat="1" applyFont="1" applyAlignment="1">
      <alignment/>
    </xf>
    <xf numFmtId="0" fontId="43" fillId="0" borderId="10" xfId="0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Border="1" applyAlignment="1">
      <alignment horizontal="left"/>
    </xf>
    <xf numFmtId="1" fontId="48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2" fontId="48" fillId="35" borderId="19" xfId="0" applyNumberFormat="1" applyFont="1" applyFill="1" applyBorder="1" applyAlignment="1">
      <alignment/>
    </xf>
    <xf numFmtId="0" fontId="48" fillId="34" borderId="2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8" fillId="34" borderId="21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0" fontId="48" fillId="33" borderId="23" xfId="0" applyFont="1" applyFill="1" applyBorder="1" applyAlignment="1">
      <alignment/>
    </xf>
    <xf numFmtId="0" fontId="48" fillId="33" borderId="23" xfId="0" applyFont="1" applyFill="1" applyBorder="1" applyAlignment="1">
      <alignment horizontal="center"/>
    </xf>
    <xf numFmtId="0" fontId="43" fillId="0" borderId="12" xfId="0" applyFont="1" applyBorder="1" applyAlignment="1">
      <alignment/>
    </xf>
    <xf numFmtId="0" fontId="48" fillId="0" borderId="24" xfId="0" applyFont="1" applyBorder="1" applyAlignment="1">
      <alignment/>
    </xf>
    <xf numFmtId="0" fontId="0" fillId="0" borderId="25" xfId="0" applyBorder="1" applyAlignment="1">
      <alignment/>
    </xf>
    <xf numFmtId="180" fontId="48" fillId="0" borderId="26" xfId="59" applyNumberFormat="1" applyFont="1" applyBorder="1" applyAlignment="1">
      <alignment/>
    </xf>
    <xf numFmtId="0" fontId="0" fillId="0" borderId="27" xfId="0" applyBorder="1" applyAlignment="1">
      <alignment/>
    </xf>
    <xf numFmtId="44" fontId="49" fillId="0" borderId="28" xfId="0" applyNumberFormat="1" applyFont="1" applyBorder="1" applyAlignment="1">
      <alignment/>
    </xf>
    <xf numFmtId="168" fontId="48" fillId="0" borderId="29" xfId="59" applyNumberFormat="1" applyFont="1" applyBorder="1" applyAlignment="1">
      <alignment/>
    </xf>
    <xf numFmtId="168" fontId="48" fillId="0" borderId="30" xfId="59" applyNumberFormat="1" applyFont="1" applyBorder="1" applyAlignment="1">
      <alignment/>
    </xf>
    <xf numFmtId="168" fontId="48" fillId="0" borderId="23" xfId="59" applyNumberFormat="1" applyFont="1" applyBorder="1" applyAlignment="1">
      <alignment/>
    </xf>
    <xf numFmtId="168" fontId="47" fillId="0" borderId="31" xfId="59" applyNumberFormat="1" applyFont="1" applyBorder="1" applyAlignment="1">
      <alignment/>
    </xf>
    <xf numFmtId="181" fontId="48" fillId="0" borderId="30" xfId="0" applyNumberFormat="1" applyFont="1" applyBorder="1" applyAlignment="1">
      <alignment/>
    </xf>
    <xf numFmtId="168" fontId="48" fillId="0" borderId="26" xfId="59" applyNumberFormat="1" applyFont="1" applyBorder="1" applyAlignment="1">
      <alignment/>
    </xf>
    <xf numFmtId="0" fontId="50" fillId="36" borderId="18" xfId="0" applyFont="1" applyFill="1" applyBorder="1" applyAlignment="1">
      <alignment horizontal="center"/>
    </xf>
    <xf numFmtId="0" fontId="50" fillId="36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1" fillId="37" borderId="31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left"/>
    </xf>
    <xf numFmtId="0" fontId="51" fillId="33" borderId="23" xfId="0" applyFont="1" applyFill="1" applyBorder="1" applyAlignment="1">
      <alignment horizontal="left"/>
    </xf>
    <xf numFmtId="0" fontId="51" fillId="33" borderId="23" xfId="0" applyFont="1" applyFill="1" applyBorder="1" applyAlignment="1">
      <alignment horizontal="center"/>
    </xf>
    <xf numFmtId="0" fontId="5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35" borderId="0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0" fillId="36" borderId="32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3" fillId="0" borderId="38" xfId="0" applyFont="1" applyBorder="1" applyAlignment="1">
      <alignment horizontal="center"/>
    </xf>
    <xf numFmtId="170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48" fillId="35" borderId="39" xfId="0" applyFont="1" applyFill="1" applyBorder="1" applyAlignment="1" applyProtection="1">
      <alignment/>
      <protection locked="0"/>
    </xf>
    <xf numFmtId="0" fontId="48" fillId="35" borderId="40" xfId="0" applyFont="1" applyFill="1" applyBorder="1" applyAlignment="1" applyProtection="1">
      <alignment/>
      <protection locked="0"/>
    </xf>
    <xf numFmtId="1" fontId="48" fillId="35" borderId="32" xfId="0" applyNumberFormat="1" applyFont="1" applyFill="1" applyBorder="1" applyAlignment="1" applyProtection="1">
      <alignment/>
      <protection locked="0"/>
    </xf>
    <xf numFmtId="2" fontId="48" fillId="35" borderId="39" xfId="0" applyNumberFormat="1" applyFont="1" applyFill="1" applyBorder="1" applyAlignment="1" applyProtection="1">
      <alignment/>
      <protection locked="0"/>
    </xf>
    <xf numFmtId="2" fontId="48" fillId="35" borderId="40" xfId="0" applyNumberFormat="1" applyFont="1" applyFill="1" applyBorder="1" applyAlignment="1" applyProtection="1">
      <alignment/>
      <protection locked="0"/>
    </xf>
    <xf numFmtId="1" fontId="48" fillId="35" borderId="41" xfId="0" applyNumberFormat="1" applyFont="1" applyFill="1" applyBorder="1" applyAlignment="1" applyProtection="1">
      <alignment/>
      <protection locked="0"/>
    </xf>
    <xf numFmtId="0" fontId="48" fillId="35" borderId="32" xfId="0" applyFont="1" applyFill="1" applyBorder="1" applyAlignment="1" applyProtection="1">
      <alignment/>
      <protection locked="0"/>
    </xf>
    <xf numFmtId="0" fontId="48" fillId="35" borderId="42" xfId="0" applyFont="1" applyFill="1" applyBorder="1" applyAlignment="1" applyProtection="1">
      <alignment/>
      <protection locked="0"/>
    </xf>
    <xf numFmtId="0" fontId="48" fillId="35" borderId="43" xfId="0" applyFont="1" applyFill="1" applyBorder="1" applyAlignment="1" applyProtection="1">
      <alignment/>
      <protection locked="0"/>
    </xf>
    <xf numFmtId="0" fontId="48" fillId="35" borderId="41" xfId="0" applyFont="1" applyFill="1" applyBorder="1" applyAlignment="1" applyProtection="1">
      <alignment/>
      <protection locked="0"/>
    </xf>
    <xf numFmtId="0" fontId="47" fillId="36" borderId="40" xfId="0" applyFont="1" applyFill="1" applyBorder="1" applyAlignment="1">
      <alignment horizontal="left"/>
    </xf>
    <xf numFmtId="0" fontId="47" fillId="36" borderId="32" xfId="0" applyFont="1" applyFill="1" applyBorder="1" applyAlignment="1">
      <alignment horizontal="left"/>
    </xf>
    <xf numFmtId="0" fontId="47" fillId="36" borderId="43" xfId="0" applyFont="1" applyFill="1" applyBorder="1" applyAlignment="1">
      <alignment horizontal="left"/>
    </xf>
    <xf numFmtId="0" fontId="47" fillId="36" borderId="39" xfId="0" applyFont="1" applyFill="1" applyBorder="1" applyAlignment="1">
      <alignment horizontal="left"/>
    </xf>
    <xf numFmtId="0" fontId="47" fillId="36" borderId="41" xfId="0" applyFont="1" applyFill="1" applyBorder="1" applyAlignment="1">
      <alignment horizontal="left"/>
    </xf>
    <xf numFmtId="0" fontId="47" fillId="33" borderId="23" xfId="0" applyFont="1" applyFill="1" applyBorder="1" applyAlignment="1">
      <alignment horizontal="center"/>
    </xf>
    <xf numFmtId="0" fontId="47" fillId="36" borderId="34" xfId="0" applyFont="1" applyFill="1" applyBorder="1" applyAlignment="1">
      <alignment horizontal="left"/>
    </xf>
    <xf numFmtId="0" fontId="47" fillId="36" borderId="17" xfId="0" applyFont="1" applyFill="1" applyBorder="1" applyAlignment="1">
      <alignment horizontal="left"/>
    </xf>
    <xf numFmtId="0" fontId="47" fillId="36" borderId="35" xfId="0" applyFont="1" applyFill="1" applyBorder="1" applyAlignment="1">
      <alignment horizontal="left"/>
    </xf>
    <xf numFmtId="0" fontId="48" fillId="33" borderId="44" xfId="0" applyFont="1" applyFill="1" applyBorder="1" applyAlignment="1">
      <alignment horizontal="left"/>
    </xf>
    <xf numFmtId="0" fontId="48" fillId="33" borderId="45" xfId="0" applyFont="1" applyFill="1" applyBorder="1" applyAlignment="1">
      <alignment horizontal="left"/>
    </xf>
    <xf numFmtId="0" fontId="48" fillId="33" borderId="46" xfId="0" applyFont="1" applyFill="1" applyBorder="1" applyAlignment="1">
      <alignment horizontal="left"/>
    </xf>
    <xf numFmtId="0" fontId="47" fillId="36" borderId="47" xfId="0" applyFont="1" applyFill="1" applyBorder="1" applyAlignment="1">
      <alignment horizontal="left"/>
    </xf>
    <xf numFmtId="0" fontId="47" fillId="36" borderId="48" xfId="0" applyFont="1" applyFill="1" applyBorder="1" applyAlignment="1">
      <alignment horizontal="left"/>
    </xf>
    <xf numFmtId="0" fontId="47" fillId="36" borderId="49" xfId="0" applyFont="1" applyFill="1" applyBorder="1" applyAlignment="1">
      <alignment horizontal="left"/>
    </xf>
    <xf numFmtId="0" fontId="4" fillId="36" borderId="42" xfId="0" applyFont="1" applyFill="1" applyBorder="1" applyAlignment="1">
      <alignment horizontal="left"/>
    </xf>
    <xf numFmtId="0" fontId="47" fillId="33" borderId="50" xfId="0" applyFont="1" applyFill="1" applyBorder="1" applyAlignment="1">
      <alignment horizontal="center"/>
    </xf>
    <xf numFmtId="0" fontId="47" fillId="36" borderId="51" xfId="0" applyFont="1" applyFill="1" applyBorder="1" applyAlignment="1">
      <alignment horizontal="left"/>
    </xf>
    <xf numFmtId="0" fontId="47" fillId="36" borderId="38" xfId="0" applyFont="1" applyFill="1" applyBorder="1" applyAlignment="1">
      <alignment horizontal="left"/>
    </xf>
    <xf numFmtId="0" fontId="47" fillId="36" borderId="52" xfId="0" applyFont="1" applyFill="1" applyBorder="1" applyAlignment="1">
      <alignment horizontal="left"/>
    </xf>
    <xf numFmtId="0" fontId="48" fillId="33" borderId="53" xfId="0" applyFont="1" applyFill="1" applyBorder="1" applyAlignment="1">
      <alignment horizontal="left"/>
    </xf>
    <xf numFmtId="0" fontId="48" fillId="33" borderId="54" xfId="0" applyFont="1" applyFill="1" applyBorder="1" applyAlignment="1">
      <alignment horizontal="left"/>
    </xf>
    <xf numFmtId="0" fontId="48" fillId="33" borderId="50" xfId="0" applyFont="1" applyFill="1" applyBorder="1" applyAlignment="1">
      <alignment horizontal="left"/>
    </xf>
    <xf numFmtId="0" fontId="47" fillId="36" borderId="55" xfId="0" applyFont="1" applyFill="1" applyBorder="1" applyAlignment="1">
      <alignment horizontal="left"/>
    </xf>
    <xf numFmtId="0" fontId="47" fillId="36" borderId="14" xfId="0" applyFont="1" applyFill="1" applyBorder="1" applyAlignment="1">
      <alignment horizontal="left"/>
    </xf>
    <xf numFmtId="0" fontId="47" fillId="36" borderId="56" xfId="0" applyFont="1" applyFill="1" applyBorder="1" applyAlignment="1">
      <alignment horizontal="left"/>
    </xf>
    <xf numFmtId="0" fontId="47" fillId="36" borderId="57" xfId="0" applyFont="1" applyFill="1" applyBorder="1" applyAlignment="1">
      <alignment horizontal="left"/>
    </xf>
    <xf numFmtId="0" fontId="47" fillId="36" borderId="58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47" fillId="36" borderId="15" xfId="0" applyFont="1" applyFill="1" applyBorder="1" applyAlignment="1">
      <alignment horizontal="left"/>
    </xf>
    <xf numFmtId="0" fontId="50" fillId="37" borderId="59" xfId="0" applyFont="1" applyFill="1" applyBorder="1" applyAlignment="1">
      <alignment horizontal="left"/>
    </xf>
    <xf numFmtId="0" fontId="50" fillId="37" borderId="23" xfId="0" applyFont="1" applyFill="1" applyBorder="1" applyAlignment="1">
      <alignment horizontal="left"/>
    </xf>
    <xf numFmtId="0" fontId="50" fillId="37" borderId="60" xfId="0" applyFont="1" applyFill="1" applyBorder="1" applyAlignment="1">
      <alignment horizontal="left"/>
    </xf>
    <xf numFmtId="0" fontId="47" fillId="36" borderId="61" xfId="0" applyFont="1" applyFill="1" applyBorder="1" applyAlignment="1">
      <alignment horizontal="left"/>
    </xf>
    <xf numFmtId="0" fontId="47" fillId="36" borderId="62" xfId="0" applyFont="1" applyFill="1" applyBorder="1" applyAlignment="1">
      <alignment horizontal="left"/>
    </xf>
    <xf numFmtId="0" fontId="47" fillId="36" borderId="63" xfId="0" applyFont="1" applyFill="1" applyBorder="1" applyAlignment="1">
      <alignment horizontal="left"/>
    </xf>
    <xf numFmtId="0" fontId="47" fillId="36" borderId="64" xfId="0" applyFont="1" applyFill="1" applyBorder="1" applyAlignment="1">
      <alignment horizontal="left"/>
    </xf>
    <xf numFmtId="0" fontId="47" fillId="36" borderId="16" xfId="0" applyFont="1" applyFill="1" applyBorder="1" applyAlignment="1">
      <alignment horizontal="left"/>
    </xf>
    <xf numFmtId="0" fontId="51" fillId="37" borderId="17" xfId="0" applyFont="1" applyFill="1" applyBorder="1" applyAlignment="1">
      <alignment horizontal="left"/>
    </xf>
    <xf numFmtId="0" fontId="51" fillId="37" borderId="35" xfId="0" applyFont="1" applyFill="1" applyBorder="1" applyAlignment="1">
      <alignment horizontal="left"/>
    </xf>
    <xf numFmtId="0" fontId="51" fillId="37" borderId="65" xfId="0" applyFont="1" applyFill="1" applyBorder="1" applyAlignment="1">
      <alignment horizontal="left"/>
    </xf>
    <xf numFmtId="0" fontId="51" fillId="37" borderId="42" xfId="0" applyFont="1" applyFill="1" applyBorder="1" applyAlignment="1">
      <alignment horizontal="left"/>
    </xf>
    <xf numFmtId="0" fontId="51" fillId="37" borderId="21" xfId="0" applyFont="1" applyFill="1" applyBorder="1" applyAlignment="1">
      <alignment horizontal="left"/>
    </xf>
    <xf numFmtId="0" fontId="50" fillId="36" borderId="32" xfId="0" applyFont="1" applyFill="1" applyBorder="1" applyAlignment="1">
      <alignment horizontal="center"/>
    </xf>
    <xf numFmtId="0" fontId="4" fillId="36" borderId="66" xfId="0" applyFont="1" applyFill="1" applyBorder="1" applyAlignment="1">
      <alignment horizontal="left"/>
    </xf>
    <xf numFmtId="0" fontId="4" fillId="36" borderId="54" xfId="0" applyFont="1" applyFill="1" applyBorder="1" applyAlignment="1">
      <alignment horizontal="lef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/>
  <cols>
    <col min="4" max="4" width="13.7109375" style="0" customWidth="1"/>
    <col min="6" max="6" width="12.28125" style="0" customWidth="1"/>
    <col min="7" max="7" width="12.57421875" style="0" customWidth="1"/>
    <col min="9" max="9" width="11.00390625" style="0" bestFit="1" customWidth="1"/>
    <col min="11" max="11" width="16.00390625" style="0" customWidth="1"/>
    <col min="12" max="12" width="24.421875" style="0" customWidth="1"/>
    <col min="13" max="13" width="15.28125" style="0" bestFit="1" customWidth="1"/>
  </cols>
  <sheetData>
    <row r="1" spans="1:10" ht="26.25">
      <c r="A1" s="18" t="s">
        <v>80</v>
      </c>
      <c r="E1" s="16"/>
      <c r="J1" s="16"/>
    </row>
    <row r="2" spans="1:10" ht="10.5" customHeight="1" thickBot="1">
      <c r="A2" s="18"/>
      <c r="E2" s="16"/>
      <c r="J2" s="16"/>
    </row>
    <row r="3" spans="1:12" ht="18.75" thickBot="1">
      <c r="A3" s="114" t="s">
        <v>19</v>
      </c>
      <c r="B3" s="114"/>
      <c r="C3" s="114"/>
      <c r="D3" s="114"/>
      <c r="E3" s="114"/>
      <c r="F3" s="115"/>
      <c r="G3" s="22"/>
      <c r="H3" s="116" t="s">
        <v>62</v>
      </c>
      <c r="I3" s="117"/>
      <c r="J3" s="117"/>
      <c r="K3" s="118"/>
      <c r="L3" s="51" t="str">
        <f>CONCATENATE("Kvie, ",E5," - ",E6," mdr")</f>
        <v>Kvie, 3 - 22 mdr</v>
      </c>
    </row>
    <row r="4" spans="1:12" ht="18.75" thickBot="1">
      <c r="A4" s="119"/>
      <c r="B4" s="119"/>
      <c r="C4" s="119"/>
      <c r="D4" s="119"/>
      <c r="E4" s="60" t="s">
        <v>54</v>
      </c>
      <c r="F4" s="48" t="s">
        <v>55</v>
      </c>
      <c r="G4" s="22"/>
      <c r="H4" s="53"/>
      <c r="I4" s="52"/>
      <c r="J4" s="52"/>
      <c r="K4" s="52"/>
      <c r="L4" s="54"/>
    </row>
    <row r="5" spans="1:13" ht="16.5" thickBot="1">
      <c r="A5" s="79" t="s">
        <v>33</v>
      </c>
      <c r="B5" s="79"/>
      <c r="C5" s="79"/>
      <c r="D5" s="79"/>
      <c r="E5" s="66">
        <v>3</v>
      </c>
      <c r="F5" s="23" t="s">
        <v>24</v>
      </c>
      <c r="G5" s="22"/>
      <c r="H5" s="106" t="s">
        <v>60</v>
      </c>
      <c r="I5" s="107"/>
      <c r="J5" s="107"/>
      <c r="K5" s="107"/>
      <c r="L5" s="108"/>
      <c r="M5" s="12"/>
    </row>
    <row r="6" spans="1:12" ht="15">
      <c r="A6" s="76" t="s">
        <v>32</v>
      </c>
      <c r="B6" s="76"/>
      <c r="C6" s="76"/>
      <c r="D6" s="76"/>
      <c r="E6" s="67">
        <v>22</v>
      </c>
      <c r="F6" s="24" t="s">
        <v>24</v>
      </c>
      <c r="G6" s="22"/>
      <c r="H6" s="110" t="s">
        <v>63</v>
      </c>
      <c r="I6" s="79"/>
      <c r="J6" s="79"/>
      <c r="K6" s="111"/>
      <c r="L6" s="39">
        <f>SUM(IF(AND(A46&gt;$E$5,A46&lt;=$E$6),G46,0),IF(AND(A47&gt;$E$5,A47&lt;=$E$6),G47,0),IF(AND(A48&gt;$E$5,A48&lt;=$E$6),G48,0),IF(AND(A49&gt;$E$5,A49&lt;=$E$6),G49,0),IF(AND(A50&gt;$E$5,A50&lt;=$E$6),G50,0),IF(AND(A51&gt;$E$5,A51&lt;=$E$6),G51,0),IF(AND(A52&gt;$E$5,A52&lt;=$E$6),G52,0),IF(AND(A53&gt;$E$5,A53&lt;=$E$6),G53,0),IF(AND(A54&gt;$E$5,A54&lt;=$E$6),G54,0),IF(AND(A55&gt;$E$5,A55&lt;=$E$6),G55,0),IF(AND(A56&gt;$E$5,A56&lt;=$E$6),G56,0),IF(AND(A57&gt;$E$5,A57&lt;=$E$6),G57,0),IF(AND(A58&gt;$E$5,A58&lt;=$E$6),G58,0),IF(AND(A59&gt;$E$5,A59&lt;=$E$6),G59,0),IF(AND(A60&gt;$E$5,A60&lt;=$E$6),G60,0),IF(AND(A61&gt;$E$5,A61&lt;=$E$6),G61,0),IF(AND(A62&gt;$E$5,A62&lt;=$E$6),G62,0),IF(AND(A63&gt;$E$5,A63&lt;=$E$6),G63,0),IF(AND(A64&gt;$E$5,A64&lt;=$E$6),G64,0),IF(AND(A65&gt;$E$5,A65&lt;=$E$6),G65,0),IF(AND(A66&gt;$E$5,A66&lt;=$E$6),G66,0),IF(AND(A67&gt;$E$5,A67&lt;=$E$6),G67,0),IF(AND(A68&gt;$E$5,A68&lt;=$E$6),G68,0),IF(AND(A69&gt;$E$5,A69&lt;=$E$6),G69,0),IF(AND(A70&gt;$E$5,A70&lt;=$E$6),G70,0),IF(AND(A71&gt;$E$5,A71&lt;=$E$6),G71,0),IF(AND(A72&gt;$E$5,A72&lt;=$E$6),G72,0))+D82</f>
        <v>3506.367595882348</v>
      </c>
    </row>
    <row r="7" spans="1:15" ht="15.75" customHeight="1" thickBot="1">
      <c r="A7" s="76" t="s">
        <v>22</v>
      </c>
      <c r="B7" s="76"/>
      <c r="C7" s="76"/>
      <c r="D7" s="76"/>
      <c r="E7" s="67">
        <v>24</v>
      </c>
      <c r="F7" s="24" t="s">
        <v>24</v>
      </c>
      <c r="G7" s="38"/>
      <c r="H7" s="112" t="s">
        <v>50</v>
      </c>
      <c r="I7" s="80"/>
      <c r="J7" s="80"/>
      <c r="K7" s="113"/>
      <c r="L7" s="46">
        <f>L6/((E6-E5)*30.42)</f>
        <v>6.066589840275352</v>
      </c>
      <c r="M7" s="1"/>
      <c r="N7" s="1"/>
      <c r="O7" s="1"/>
    </row>
    <row r="8" spans="1:15" ht="15.75" thickBot="1">
      <c r="A8" s="76" t="s">
        <v>23</v>
      </c>
      <c r="B8" s="76"/>
      <c r="C8" s="76"/>
      <c r="D8" s="76"/>
      <c r="E8" s="67">
        <v>620</v>
      </c>
      <c r="F8" s="25" t="s">
        <v>25</v>
      </c>
      <c r="G8" s="22"/>
      <c r="H8" s="81"/>
      <c r="I8" s="81"/>
      <c r="J8" s="81"/>
      <c r="K8" s="81"/>
      <c r="L8" s="81"/>
      <c r="M8" s="1"/>
      <c r="N8" s="1"/>
      <c r="O8" s="1"/>
    </row>
    <row r="9" spans="1:15" ht="16.5" thickBot="1">
      <c r="A9" s="99" t="s">
        <v>27</v>
      </c>
      <c r="B9" s="76"/>
      <c r="C9" s="76"/>
      <c r="D9" s="76"/>
      <c r="E9" s="67">
        <v>700</v>
      </c>
      <c r="F9" s="24" t="s">
        <v>26</v>
      </c>
      <c r="G9" s="38"/>
      <c r="H9" s="106" t="s">
        <v>59</v>
      </c>
      <c r="I9" s="107"/>
      <c r="J9" s="107"/>
      <c r="K9" s="107"/>
      <c r="L9" s="108"/>
      <c r="M9" s="1"/>
      <c r="N9" s="1"/>
      <c r="O9" s="1"/>
    </row>
    <row r="10" spans="1:14" ht="15" customHeight="1" thickBot="1">
      <c r="A10" s="109" t="s">
        <v>28</v>
      </c>
      <c r="B10" s="77"/>
      <c r="C10" s="77"/>
      <c r="D10" s="77"/>
      <c r="E10" s="68">
        <f>((E8-43-12*7*E9/1000)/((E7-2.8)*30.5))*1000</f>
        <v>801.4228270955768</v>
      </c>
      <c r="F10" s="28" t="s">
        <v>26</v>
      </c>
      <c r="H10" s="110" t="s">
        <v>11</v>
      </c>
      <c r="I10" s="79"/>
      <c r="J10" s="79"/>
      <c r="K10" s="111"/>
      <c r="L10" s="47">
        <f>SUM(IF(AND(A46&gt;$E$5,A46&lt;=$E$6),H44,0),IF(AND(A47&gt;$E$5,A47&lt;=$E$6),H45,0),IF(AND(A48&gt;$E$5,A48&lt;=$E$6),H46,0),IF(AND(A49&gt;$E$5,A49&lt;=$E$6),H47,0),IF(AND(A50&gt;$E$5,A50&lt;=$E$6),H48,0),IF(AND(A51&gt;$E$5,A51&lt;=$E$6),H49,0),IF(AND(A52&gt;$E$5,A52&lt;=$E$6),H50,0),IF(AND(A53&gt;$E$5,A53&lt;=$E$6),H51,0),IF(AND(A54&gt;$E$5,A54&lt;=$E$6),H52,0),IF(AND(A55&gt;$E$5,A55&lt;=$E$6),H53,0),IF(AND(A56&gt;$E$5,A56&lt;=$E$6),H54,0),IF(AND(A57&gt;$E$5,A57&lt;=$E$6),H55,0),IF(AND(A58&gt;$E$5,A58&lt;=$E$6),H56,0),IF(AND(A59&gt;$E$5,A59&lt;=$E$6),H57,0),IF(AND(A60&gt;$E$5,A60&lt;=$E$6),H58,0),IF(AND(A61&gt;$E$5,A61&lt;=$E$6),H59,0),IF(AND(A62&gt;$E$5,A62&lt;=$E$6),H60,0),IF(AND(A63&gt;$E$5,A63&lt;=$E$6),H61,0),IF(AND(A64&gt;$E$5,A64&lt;=$E$6),H62,0),IF(AND(A65&gt;$E$5,A65&lt;=$E$6),H63,0),IF(AND(A66&gt;$E$5,A66&lt;=$E$6),H64,0),IF(AND(A67&gt;$E$5,A67&lt;=$E$6),H65,0),IF(AND(A68&gt;$E$5,A68&lt;=$E$6),H66,0),IF(AND(A69&gt;$E$5,A69&lt;=$E$6),H67,0),IF(AND(A70&gt;$E$5,A70&lt;=$E$6),H68,0),IF(AND(A71&gt;$E$5,A71&lt;=$E$6),H69,0),IF(AND(A72&gt;$E$5,A72&lt;=$E$6),H70,0))+D82*E38</f>
        <v>4418.023170811758</v>
      </c>
      <c r="M10" s="1"/>
      <c r="N10" s="7"/>
    </row>
    <row r="11" spans="1:14" ht="15.75" thickBot="1">
      <c r="A11" s="19"/>
      <c r="B11" s="19"/>
      <c r="C11" s="19"/>
      <c r="D11" s="19"/>
      <c r="E11" s="20"/>
      <c r="F11" s="27"/>
      <c r="G11" s="50"/>
      <c r="H11" s="99" t="s">
        <v>20</v>
      </c>
      <c r="I11" s="76"/>
      <c r="J11" s="76"/>
      <c r="K11" s="100"/>
      <c r="L11" s="42">
        <f>SUM(IF(AND(A46&gt;$E$5,A46&lt;=$E$6),I44,0),IF(AND(A47&gt;$E$5,A47&lt;=$E$6),I45,0),IF(AND(A48&gt;$E$5,A48&lt;=$E$6),I46,0),IF(AND(A49&gt;$E$5,A49&lt;=$E$6),I47,0),IF(AND(A50&gt;$E$5,A50&lt;=$E$6),I48,0),IF(AND(A51&gt;$E$5,A51&lt;=$E$6),I49,0),IF(AND(A52&gt;$E$5,A52&lt;=$E$6),I50,0),IF(AND(A53&gt;$E$5,A53&lt;=$E$6),I51,0),IF(AND(A54&gt;$E$5,A54&lt;=$E$6),I52,0),IF(AND(A55&gt;$E$5,A55&lt;=$E$6),I53,0),IF(AND(A56&gt;$E$5,A56&lt;=$E$6),I54,0),IF(AND(A57&gt;$E$5,A57&lt;=$E$6),I55,0),IF(AND(A58&gt;$E$5,A58&lt;=$E$6),I56,0),IF(AND(A59&gt;$E$5,A59&lt;=$E$6),I57,0),IF(AND(A60&gt;$E$5,A60&lt;=$E$6),I58,0),IF(AND(A61&gt;$E$5,A61&lt;=$E$6),I59,0),IF(AND(A62&gt;$E$5,A62&lt;=$E$6),I60,0),IF(AND(A63&gt;$E$5,A63&lt;=$E$6),I61,0),IF(AND(A64&gt;$E$5,A64&lt;=$E$6),I62,0),IF(AND(A65&gt;$E$5,A65&lt;=$E$6),I63,0),IF(AND(A66&gt;$E$5,A66&lt;=$E$6),I64,0),IF(AND(A67&gt;$E$5,A67&lt;=$E$6),I65,0),IF(AND(A68&gt;$E$5,A68&lt;=$E$6),I66,0),IF(AND(A69&gt;$E$5,A69&lt;=$E$6),I67,0),IF(AND(A70&gt;$E$5,A70&lt;=$E$6),I68,0),IF(AND(A71&gt;$E$5,A71&lt;=$E$6),I69,0),IF(AND(A72&gt;$E$5,A72&lt;=$E$6),I70,0))+D82*E18</f>
        <v>701.2735191764698</v>
      </c>
      <c r="M11" s="1"/>
      <c r="N11" s="7"/>
    </row>
    <row r="12" spans="1:15" ht="15">
      <c r="A12" s="79" t="s">
        <v>51</v>
      </c>
      <c r="B12" s="79"/>
      <c r="C12" s="79"/>
      <c r="D12" s="79"/>
      <c r="E12" s="69">
        <v>2.8</v>
      </c>
      <c r="F12" s="23" t="s">
        <v>29</v>
      </c>
      <c r="G12" s="22"/>
      <c r="H12" s="99" t="s">
        <v>5</v>
      </c>
      <c r="I12" s="76"/>
      <c r="J12" s="76"/>
      <c r="K12" s="105"/>
      <c r="L12" s="42">
        <f>SUM(IF(AND(A46&gt;$E$5,A46&lt;=$E$6),K44,0),IF(AND(A47&gt;$E$5,A47&lt;=$E$6),K45,0),IF(AND(A48&gt;$E$5,A48&lt;=$E$6),K46,0),IF(AND(A49&gt;$E$5,A49&lt;=$E$6),K47,0),IF(AND(A50&gt;$E$5,A50&lt;=$E$6),K48,0),IF(AND(A51&gt;$E$5,A51&lt;=$E$6),K49,0),IF(AND(A52&gt;$E$5,A52&lt;=$E$6),K50,0),IF(AND(A53&gt;$E$5,A53&lt;=$E$6),K51,0),IF(AND(A54&gt;$E$5,A54&lt;=$E$6),K52,0),IF(AND(A55&gt;$E$5,A55&lt;=$E$6),K53,0),IF(AND(A56&gt;$E$5,A56&lt;=$E$6),K54,0),IF(AND(A57&gt;$E$5,A57&lt;=$E$6),K55,0),IF(AND(A58&gt;$E$5,A58&lt;=$E$6),K56,0),IF(AND(A59&gt;$E$5,A59&lt;=$E$6),K57,0),IF(AND(A60&gt;$E$5,A60&lt;=$E$6),K58,0),IF(AND(A61&gt;$E$5,A61&lt;=$E$6),K59,0),IF(AND(A62&gt;$E$5,A62&lt;=$E$6),K60,0),IF(AND(A63&gt;$E$5,A63&lt;=$E$6),K61,0),IF(AND(A64&gt;$E$5,A64&lt;=$E$6),K62,0),IF(AND(A65&gt;$E$5,A65&lt;=$E$6),K63,0),IF(AND(A66&gt;$E$5,A66&lt;=$E$6),K64,0),IF(AND(A67&gt;$E$5,A67&lt;=$E$6),K65,0),IF(AND(A68&gt;$E$5,A68&lt;=$E$6),K66,0),IF(AND(A69&gt;$E$5,A69&lt;=$E$6),K67,0),IF(AND(A70&gt;$E$5,A70&lt;=$E$6),K68,0),IF(AND(A71&gt;$E$5,A71&lt;=$E$6),K69,0),IF(AND(A72&gt;$E$5,A72&lt;=$E$6),K70,0))</f>
        <v>1732.8000000000004</v>
      </c>
      <c r="M12" s="1"/>
      <c r="N12" s="7"/>
      <c r="O12" s="7"/>
    </row>
    <row r="13" spans="1:14" ht="15">
      <c r="A13" s="76" t="s">
        <v>42</v>
      </c>
      <c r="B13" s="76"/>
      <c r="C13" s="76"/>
      <c r="D13" s="76"/>
      <c r="E13" s="70">
        <v>1.2</v>
      </c>
      <c r="F13" s="24" t="s">
        <v>29</v>
      </c>
      <c r="G13" s="22"/>
      <c r="H13" s="99" t="s">
        <v>58</v>
      </c>
      <c r="I13" s="76"/>
      <c r="J13" s="76"/>
      <c r="K13" s="100"/>
      <c r="L13" s="42">
        <f>SUM(IF(AND(A46&gt;$E$5,A46&lt;=$E$6),L44,0),IF(AND(A47&gt;$E$5,A47&lt;=$E$6),L45,0),IF(AND(A48&gt;$E$5,A48&lt;=$E$6),L46,0),IF(AND(A49&gt;$E$5,A49&lt;=$E$6),L47,0),IF(AND(A50&gt;$E$5,A50&lt;=$E$6),L48,0),IF(AND(A51&gt;$E$5,A51&lt;=$E$6),L49,0),IF(AND(A52&gt;$E$5,A52&lt;=$E$6),L50,0),IF(AND(A53&gt;$E$5,A53&lt;=$E$6),L51,0),IF(AND(A54&gt;$E$5,A54&lt;=$E$6),L52,0),IF(AND(A55&gt;$E$5,A55&lt;=$E$6),L53,0),IF(AND(A56&gt;$E$5,A56&lt;=$E$6),L54,0),IF(AND(A57&gt;$E$5,A57&lt;=$E$6),L55,0),IF(AND(A58&gt;$E$5,A58&lt;=$E$6),L56,0),IF(AND(A59&gt;$E$5,A59&lt;=$E$6),L57,0),IF(AND(A60&gt;$E$5,A60&lt;=$E$6),L58,0),IF(AND(A61&gt;$E$5,A61&lt;=$E$6),L59,0),IF(AND(A62&gt;$E$5,A62&lt;=$E$6),L60,0),IF(AND(A63&gt;$E$5,A63&lt;=$E$6),L61,0),IF(AND(A64&gt;$E$5,A64&lt;=$E$6),L62,0),IF(AND(A65&gt;$E$5,A65&lt;=$E$6),L63,0),IF(AND(A66&gt;$E$5,A66&lt;=$E$6),L64,0),IF(AND(A67&gt;$E$5,A67&lt;=$E$6),L65,0),IF(AND(A68&gt;$E$5,A68&lt;=$E$6),L66,0),IF(AND(A69&gt;$E$5,A69&lt;=$E$6),L67,0),IF(AND(A70&gt;$E$5,A70&lt;=$E$6),L68,0),IF(AND(A71&gt;$E$5,A71&lt;=$E$6),L69,0),IF(AND(A72&gt;$E$5,A72&lt;=$E$6),L70,0))</f>
        <v>1234.3232876712336</v>
      </c>
      <c r="N13" s="7"/>
    </row>
    <row r="14" spans="1:15" ht="15">
      <c r="A14" s="76" t="s">
        <v>43</v>
      </c>
      <c r="B14" s="76"/>
      <c r="C14" s="76"/>
      <c r="D14" s="76"/>
      <c r="E14" s="70">
        <v>1.8</v>
      </c>
      <c r="F14" s="24" t="s">
        <v>29</v>
      </c>
      <c r="G14" s="38"/>
      <c r="H14" s="99" t="s">
        <v>14</v>
      </c>
      <c r="I14" s="76"/>
      <c r="J14" s="76"/>
      <c r="K14" s="100"/>
      <c r="L14" s="42">
        <f>E30</f>
        <v>100</v>
      </c>
      <c r="M14" s="1"/>
      <c r="N14" s="7"/>
      <c r="O14" s="1"/>
    </row>
    <row r="15" spans="1:15" ht="15">
      <c r="A15" s="76" t="s">
        <v>30</v>
      </c>
      <c r="B15" s="76"/>
      <c r="C15" s="76"/>
      <c r="D15" s="76"/>
      <c r="E15" s="71">
        <v>90</v>
      </c>
      <c r="F15" s="25" t="s">
        <v>31</v>
      </c>
      <c r="G15" s="22"/>
      <c r="H15" s="99" t="s">
        <v>18</v>
      </c>
      <c r="I15" s="76"/>
      <c r="J15" s="76"/>
      <c r="K15" s="100"/>
      <c r="L15" s="42">
        <f>E31</f>
        <v>350</v>
      </c>
      <c r="M15" s="1"/>
      <c r="N15" s="7"/>
      <c r="O15" s="1"/>
    </row>
    <row r="16" spans="1:14" ht="15.75" thickBot="1">
      <c r="A16" s="101" t="s">
        <v>41</v>
      </c>
      <c r="B16" s="101"/>
      <c r="C16" s="101"/>
      <c r="D16" s="101"/>
      <c r="E16" s="72">
        <v>95</v>
      </c>
      <c r="F16" s="28" t="s">
        <v>31</v>
      </c>
      <c r="H16" s="102" t="s">
        <v>49</v>
      </c>
      <c r="I16" s="103"/>
      <c r="J16" s="103"/>
      <c r="K16" s="103"/>
      <c r="L16" s="42">
        <f>E32</f>
        <v>0</v>
      </c>
      <c r="N16" s="7"/>
    </row>
    <row r="17" spans="1:15" ht="15.75" thickBot="1">
      <c r="A17" s="104"/>
      <c r="B17" s="104"/>
      <c r="C17" s="104"/>
      <c r="D17" s="104"/>
      <c r="E17" s="104"/>
      <c r="F17" s="104"/>
      <c r="H17" s="93" t="s">
        <v>56</v>
      </c>
      <c r="I17" s="94"/>
      <c r="J17" s="94"/>
      <c r="K17" s="95"/>
      <c r="L17" s="43">
        <f>E34</f>
        <v>0</v>
      </c>
      <c r="M17" s="13"/>
      <c r="N17" s="7"/>
      <c r="O17" s="13"/>
    </row>
    <row r="18" spans="1:14" ht="15.75" thickBot="1">
      <c r="A18" s="91" t="s">
        <v>20</v>
      </c>
      <c r="B18" s="91"/>
      <c r="C18" s="91"/>
      <c r="D18" s="91"/>
      <c r="E18" s="73">
        <v>0.2</v>
      </c>
      <c r="F18" s="32" t="s">
        <v>29</v>
      </c>
      <c r="G18" s="22"/>
      <c r="H18" s="96"/>
      <c r="I18" s="97"/>
      <c r="J18" s="97"/>
      <c r="K18" s="98"/>
      <c r="L18" s="44"/>
      <c r="N18" s="7"/>
    </row>
    <row r="19" spans="1:14" ht="15.75" thickBot="1">
      <c r="A19" s="92"/>
      <c r="B19" s="81"/>
      <c r="C19" s="81"/>
      <c r="D19" s="81"/>
      <c r="E19" s="81"/>
      <c r="F19" s="81"/>
      <c r="G19" s="16"/>
      <c r="H19" s="82" t="s">
        <v>52</v>
      </c>
      <c r="I19" s="83"/>
      <c r="J19" s="83"/>
      <c r="K19" s="84"/>
      <c r="L19" s="45">
        <f>SUM(L10:L17)</f>
        <v>8536.419977659461</v>
      </c>
      <c r="N19" s="7"/>
    </row>
    <row r="20" spans="1:12" ht="15.75" thickBot="1">
      <c r="A20" s="79" t="s">
        <v>34</v>
      </c>
      <c r="B20" s="79"/>
      <c r="C20" s="79"/>
      <c r="D20" s="79"/>
      <c r="E20" s="66">
        <v>180</v>
      </c>
      <c r="F20" s="23" t="s">
        <v>35</v>
      </c>
      <c r="G20" s="22"/>
      <c r="H20" s="85"/>
      <c r="I20" s="86"/>
      <c r="J20" s="86"/>
      <c r="K20" s="87"/>
      <c r="L20" s="37"/>
    </row>
    <row r="21" spans="1:12" ht="15.75" thickBot="1">
      <c r="A21" s="76" t="s">
        <v>44</v>
      </c>
      <c r="B21" s="76"/>
      <c r="C21" s="76"/>
      <c r="D21" s="76"/>
      <c r="E21" s="67">
        <v>2</v>
      </c>
      <c r="F21" s="24" t="s">
        <v>45</v>
      </c>
      <c r="G21" s="22"/>
      <c r="H21" s="88" t="s">
        <v>21</v>
      </c>
      <c r="I21" s="89"/>
      <c r="J21" s="89"/>
      <c r="K21" s="90"/>
      <c r="L21" s="41">
        <f>L19/((E6-E5)*30.42)</f>
        <v>14.76940374694533</v>
      </c>
    </row>
    <row r="22" spans="1:12" ht="15.75" thickBot="1">
      <c r="A22" s="77" t="s">
        <v>57</v>
      </c>
      <c r="B22" s="77"/>
      <c r="C22" s="77"/>
      <c r="D22" s="77"/>
      <c r="E22" s="72">
        <v>1</v>
      </c>
      <c r="F22" s="28" t="s">
        <v>46</v>
      </c>
      <c r="G22" s="22"/>
      <c r="L22" s="40"/>
    </row>
    <row r="23" spans="1:6" ht="15.75" thickBot="1">
      <c r="A23" s="19"/>
      <c r="B23" s="19"/>
      <c r="C23" s="19"/>
      <c r="D23" s="19"/>
      <c r="E23" s="34"/>
      <c r="F23" s="35"/>
    </row>
    <row r="24" spans="1:11" ht="15.75">
      <c r="A24" s="79" t="s">
        <v>36</v>
      </c>
      <c r="B24" s="79"/>
      <c r="C24" s="79"/>
      <c r="D24" s="79"/>
      <c r="E24" s="74">
        <v>2500</v>
      </c>
      <c r="F24" s="23" t="s">
        <v>38</v>
      </c>
      <c r="G24" s="22"/>
      <c r="H24" s="55" t="s">
        <v>61</v>
      </c>
      <c r="I24" s="31"/>
      <c r="J24" s="31"/>
      <c r="K24" s="56"/>
    </row>
    <row r="25" spans="1:11" ht="15">
      <c r="A25" s="76" t="s">
        <v>37</v>
      </c>
      <c r="B25" s="76"/>
      <c r="C25" s="76"/>
      <c r="D25" s="76"/>
      <c r="E25" s="67">
        <v>6000</v>
      </c>
      <c r="F25" s="24" t="s">
        <v>38</v>
      </c>
      <c r="G25" s="22"/>
      <c r="H25" s="22"/>
      <c r="I25" s="16"/>
      <c r="J25" s="16"/>
      <c r="K25" s="50"/>
    </row>
    <row r="26" spans="1:12" ht="15">
      <c r="A26" s="76" t="s">
        <v>39</v>
      </c>
      <c r="B26" s="76"/>
      <c r="C26" s="76"/>
      <c r="D26" s="76"/>
      <c r="E26" s="67">
        <v>8</v>
      </c>
      <c r="F26" s="24" t="s">
        <v>31</v>
      </c>
      <c r="G26" s="22"/>
      <c r="H26" s="22" t="s">
        <v>77</v>
      </c>
      <c r="I26" s="16"/>
      <c r="K26" s="50"/>
      <c r="L26" s="16"/>
    </row>
    <row r="27" spans="1:11" ht="15">
      <c r="A27" s="76" t="s">
        <v>3</v>
      </c>
      <c r="B27" s="76"/>
      <c r="C27" s="76"/>
      <c r="D27" s="76"/>
      <c r="E27" s="67">
        <v>3</v>
      </c>
      <c r="F27" s="24" t="s">
        <v>31</v>
      </c>
      <c r="G27" s="22"/>
      <c r="H27" s="22" t="s">
        <v>78</v>
      </c>
      <c r="I27" s="16"/>
      <c r="K27" s="50"/>
    </row>
    <row r="28" spans="1:11" ht="15.75" thickBot="1">
      <c r="A28" s="77" t="s">
        <v>40</v>
      </c>
      <c r="B28" s="77"/>
      <c r="C28" s="77"/>
      <c r="D28" s="77"/>
      <c r="E28" s="75">
        <v>2</v>
      </c>
      <c r="F28" s="26" t="s">
        <v>31</v>
      </c>
      <c r="G28" s="22"/>
      <c r="H28" s="22" t="s">
        <v>76</v>
      </c>
      <c r="I28" s="16"/>
      <c r="J28" s="57"/>
      <c r="K28" s="50"/>
    </row>
    <row r="29" spans="1:11" ht="15.75" thickBot="1">
      <c r="A29" s="19"/>
      <c r="B29" s="19"/>
      <c r="C29" s="19"/>
      <c r="D29" s="19"/>
      <c r="E29" s="34"/>
      <c r="F29" s="35"/>
      <c r="G29" s="16"/>
      <c r="H29" s="58"/>
      <c r="I29" s="21"/>
      <c r="J29" s="21"/>
      <c r="K29" s="59"/>
    </row>
    <row r="30" spans="1:11" ht="15">
      <c r="A30" s="79" t="s">
        <v>14</v>
      </c>
      <c r="B30" s="79"/>
      <c r="C30" s="79"/>
      <c r="D30" s="79"/>
      <c r="E30" s="74">
        <v>100</v>
      </c>
      <c r="F30" s="30" t="s">
        <v>47</v>
      </c>
      <c r="G30" s="22"/>
      <c r="K30" s="16"/>
    </row>
    <row r="31" spans="1:7" ht="15">
      <c r="A31" s="80" t="s">
        <v>18</v>
      </c>
      <c r="B31" s="80"/>
      <c r="C31" s="80"/>
      <c r="D31" s="80"/>
      <c r="E31" s="75">
        <v>350</v>
      </c>
      <c r="F31" s="25" t="s">
        <v>47</v>
      </c>
      <c r="G31" s="22"/>
    </row>
    <row r="32" spans="1:7" ht="15.75" thickBot="1">
      <c r="A32" s="76" t="s">
        <v>49</v>
      </c>
      <c r="B32" s="76"/>
      <c r="C32" s="76"/>
      <c r="D32" s="76"/>
      <c r="E32" s="67"/>
      <c r="F32" s="24" t="s">
        <v>47</v>
      </c>
      <c r="G32" s="22"/>
    </row>
    <row r="33" spans="1:7" ht="15.75" thickBot="1">
      <c r="A33" s="81"/>
      <c r="B33" s="81"/>
      <c r="C33" s="81"/>
      <c r="D33" s="81"/>
      <c r="E33" s="81"/>
      <c r="F33" s="81"/>
      <c r="G33" s="16"/>
    </row>
    <row r="34" spans="1:7" ht="15.75" thickBot="1">
      <c r="A34" s="77" t="s">
        <v>56</v>
      </c>
      <c r="B34" s="77"/>
      <c r="C34" s="77"/>
      <c r="D34" s="77"/>
      <c r="E34" s="72"/>
      <c r="F34" s="28" t="s">
        <v>47</v>
      </c>
      <c r="G34" s="36"/>
    </row>
    <row r="35" ht="12.75">
      <c r="G35" s="2"/>
    </row>
    <row r="36" ht="12.75" hidden="1">
      <c r="G36" s="2"/>
    </row>
    <row r="37" ht="12.75" hidden="1">
      <c r="G37" s="2"/>
    </row>
    <row r="38" spans="1:7" ht="15" hidden="1">
      <c r="A38" s="78" t="s">
        <v>48</v>
      </c>
      <c r="B38" s="78"/>
      <c r="C38" s="78"/>
      <c r="D38" s="78"/>
      <c r="E38" s="29">
        <f>E13*E15/100+E14*((100-E15)/100)</f>
        <v>1.26</v>
      </c>
      <c r="F38" s="33"/>
      <c r="G38" s="2"/>
    </row>
    <row r="39" spans="7:8" ht="12.75" hidden="1">
      <c r="G39" s="2"/>
      <c r="H39" s="14"/>
    </row>
    <row r="40" spans="7:12" ht="12.75" hidden="1">
      <c r="G40" s="2"/>
      <c r="H40" s="63"/>
      <c r="I40" s="2" t="s">
        <v>10</v>
      </c>
      <c r="J40" s="2" t="s">
        <v>5</v>
      </c>
      <c r="K40" s="2" t="s">
        <v>5</v>
      </c>
      <c r="L40" s="5" t="s">
        <v>12</v>
      </c>
    </row>
    <row r="41" spans="7:12" ht="12.75" hidden="1">
      <c r="G41" s="14" t="s">
        <v>15</v>
      </c>
      <c r="H41" s="9" t="s">
        <v>38</v>
      </c>
      <c r="I41" s="9" t="s">
        <v>9</v>
      </c>
      <c r="J41" s="9" t="s">
        <v>72</v>
      </c>
      <c r="K41" s="9" t="s">
        <v>38</v>
      </c>
      <c r="L41" s="10" t="s">
        <v>73</v>
      </c>
    </row>
    <row r="42" spans="1:12" ht="12.75" customHeight="1" hidden="1">
      <c r="A42" s="2"/>
      <c r="B42" s="2" t="s">
        <v>6</v>
      </c>
      <c r="C42" s="2" t="s">
        <v>7</v>
      </c>
      <c r="D42" s="2"/>
      <c r="E42" s="2"/>
      <c r="F42" s="2" t="s">
        <v>74</v>
      </c>
      <c r="G42" s="63" t="s">
        <v>11</v>
      </c>
      <c r="L42" s="3"/>
    </row>
    <row r="43" spans="1:12" ht="12.75" hidden="1">
      <c r="A43" s="9" t="s">
        <v>0</v>
      </c>
      <c r="B43" s="9" t="s">
        <v>2</v>
      </c>
      <c r="C43" s="9" t="s">
        <v>8</v>
      </c>
      <c r="D43" s="9" t="s">
        <v>53</v>
      </c>
      <c r="E43" s="9" t="s">
        <v>71</v>
      </c>
      <c r="F43" s="9" t="s">
        <v>4</v>
      </c>
      <c r="G43" s="9" t="s">
        <v>1</v>
      </c>
      <c r="H43" s="1">
        <f>G45*E12</f>
        <v>78.99885195108013</v>
      </c>
      <c r="J43" s="1">
        <f>$E$21*30.4/2</f>
        <v>30.4</v>
      </c>
      <c r="K43" s="1">
        <f>(J43/60)*$E$20</f>
        <v>91.19999999999999</v>
      </c>
      <c r="L43" s="4">
        <f>($E$24*($E$26+$E$27+$E$28)/100)*30.4/365</f>
        <v>27.068493150684933</v>
      </c>
    </row>
    <row r="44" spans="1:12" ht="12.75" hidden="1">
      <c r="A44">
        <v>0</v>
      </c>
      <c r="C44" s="1">
        <v>43</v>
      </c>
      <c r="D44" s="1"/>
      <c r="E44" s="1"/>
      <c r="F44" s="1"/>
      <c r="H44" s="1">
        <f>G46*E12</f>
        <v>86.38086999595654</v>
      </c>
      <c r="J44" s="1">
        <f>$E$21*30.4/2</f>
        <v>30.4</v>
      </c>
      <c r="K44" s="1">
        <f>(J44/60)*$E$20</f>
        <v>91.19999999999999</v>
      </c>
      <c r="L44" s="4">
        <f>($E$24*($E$26+$E$27+$E$28)/100)*30.4/365</f>
        <v>27.068493150684933</v>
      </c>
    </row>
    <row r="45" spans="1:12" ht="12.75" hidden="1">
      <c r="A45">
        <v>0.5</v>
      </c>
      <c r="B45">
        <f>E9</f>
        <v>700</v>
      </c>
      <c r="C45" s="1">
        <f>C44+(30.4/2)*B45/1000</f>
        <v>53.64</v>
      </c>
      <c r="D45" s="17">
        <f>(C45+C44)/2</f>
        <v>48.32</v>
      </c>
      <c r="E45" s="1">
        <f>LN(D45)</f>
        <v>3.8778455536265595</v>
      </c>
      <c r="F45" s="7">
        <f>EXP(LN((B45+1738)/(3079-258*E45))/0.28)</f>
        <v>1.7677866977953844</v>
      </c>
      <c r="G45" s="1">
        <f>F45*(30.4/2)*1.05</f>
        <v>28.213875696814334</v>
      </c>
      <c r="H45" s="1">
        <f>G47*E12</f>
        <v>93.22204779332812</v>
      </c>
      <c r="J45" s="1">
        <f>$E$21*30.4/2</f>
        <v>30.4</v>
      </c>
      <c r="K45" s="1">
        <f>(J45/60)*$E$20</f>
        <v>91.19999999999999</v>
      </c>
      <c r="L45" s="4">
        <f>($E$24*($E$26+$E$27+$E$28)/100)*30.4/365</f>
        <v>27.068493150684933</v>
      </c>
    </row>
    <row r="46" spans="1:12" ht="12.75" hidden="1">
      <c r="A46">
        <v>1</v>
      </c>
      <c r="B46" s="1">
        <f>B45</f>
        <v>700</v>
      </c>
      <c r="C46" s="1">
        <f>C44+30.4*B46/1000</f>
        <v>64.28</v>
      </c>
      <c r="D46" s="17">
        <f aca="true" t="shared" si="0" ref="D46:D72">(C46+C45)/2</f>
        <v>58.96</v>
      </c>
      <c r="E46" s="1">
        <f aca="true" t="shared" si="1" ref="E46:E72">LN(D46)</f>
        <v>4.076859247881081</v>
      </c>
      <c r="F46" s="7">
        <f>EXP(LN((B46+1738)/(3079-258*E46))/0.28)</f>
        <v>1.9329768617068688</v>
      </c>
      <c r="G46" s="1">
        <f>F46*(30.4/2)*1.05</f>
        <v>30.850310712841623</v>
      </c>
      <c r="H46" s="1">
        <f>G48*E12</f>
        <v>99.64951865749508</v>
      </c>
      <c r="J46" s="1">
        <f>$E$21*30.4/2</f>
        <v>30.4</v>
      </c>
      <c r="K46" s="1">
        <f aca="true" t="shared" si="2" ref="K46:K70">(J46/60)*$E$20</f>
        <v>91.19999999999999</v>
      </c>
      <c r="L46" s="4">
        <f>($E$24*($E$26+$E$27+$E$28)/100)*30.4/365</f>
        <v>27.068493150684933</v>
      </c>
    </row>
    <row r="47" spans="1:12" ht="12.75" hidden="1">
      <c r="A47">
        <v>1.5</v>
      </c>
      <c r="B47" s="1">
        <f>B46</f>
        <v>700</v>
      </c>
      <c r="C47" s="1">
        <f>C46+(30.4/2)*B47/1000</f>
        <v>74.92</v>
      </c>
      <c r="D47" s="17">
        <f t="shared" si="0"/>
        <v>69.6</v>
      </c>
      <c r="E47" s="1">
        <f t="shared" si="1"/>
        <v>4.242764567340374</v>
      </c>
      <c r="F47" s="7">
        <f>EXP(LN((B47+1738)/(3079-258*E47))/0.28)</f>
        <v>2.086064442206591</v>
      </c>
      <c r="G47" s="1">
        <f>F47*(30.4/2)*1.05</f>
        <v>33.293588497617186</v>
      </c>
      <c r="H47" s="1">
        <f>G49*E12</f>
        <v>253.397410443974</v>
      </c>
      <c r="J47" s="1">
        <f>$E$21*30.4/2</f>
        <v>30.4</v>
      </c>
      <c r="K47" s="1">
        <f t="shared" si="2"/>
        <v>91.19999999999999</v>
      </c>
      <c r="L47" s="4">
        <f>($E$24*($E$26+$E$27+$E$28)/100)*30.4/365</f>
        <v>27.068493150684933</v>
      </c>
    </row>
    <row r="48" spans="1:12" ht="12.75" hidden="1">
      <c r="A48" s="1">
        <v>2</v>
      </c>
      <c r="B48" s="1">
        <f>B47</f>
        <v>700</v>
      </c>
      <c r="C48" s="1">
        <f>C46+30.4*B48/1000</f>
        <v>85.56</v>
      </c>
      <c r="D48" s="17">
        <f t="shared" si="0"/>
        <v>80.24000000000001</v>
      </c>
      <c r="E48" s="1">
        <f t="shared" si="1"/>
        <v>4.38502214365368</v>
      </c>
      <c r="F48" s="7">
        <f>EXP(LN((B48+1738)/(3079-258*E48))/0.28)</f>
        <v>2.2298943487624214</v>
      </c>
      <c r="G48" s="1">
        <f>F48*(30.4/2)*1.05</f>
        <v>35.58911380624824</v>
      </c>
      <c r="H48" s="1">
        <f aca="true" t="shared" si="3" ref="H48:H70">G50*$E$38</f>
        <v>133.95835863574908</v>
      </c>
      <c r="I48" s="1">
        <f>G50*$E$18</f>
        <v>21.26323152948398</v>
      </c>
      <c r="J48" s="1">
        <f aca="true" t="shared" si="4" ref="J48:J70">$E$22*30.4</f>
        <v>30.4</v>
      </c>
      <c r="K48" s="1">
        <f>(J48/60)*$E$20</f>
        <v>91.19999999999999</v>
      </c>
      <c r="L48" s="4">
        <f aca="true" t="shared" si="5" ref="L48:L70">($E$25*($E$26+$E$27+$E$28)/100)*30.4/365</f>
        <v>64.96438356164384</v>
      </c>
    </row>
    <row r="49" spans="1:12" ht="12.75" hidden="1">
      <c r="A49">
        <v>3</v>
      </c>
      <c r="B49" s="1">
        <f>E10</f>
        <v>801.4228270955768</v>
      </c>
      <c r="C49" s="1">
        <f>C48+30.4*B49/1000</f>
        <v>109.92325394370553</v>
      </c>
      <c r="D49" s="17">
        <f t="shared" si="0"/>
        <v>97.74162697185277</v>
      </c>
      <c r="E49" s="1">
        <f t="shared" si="1"/>
        <v>4.582327537619702</v>
      </c>
      <c r="F49" s="7">
        <f>EXP(LN((B49+1738)/(3079-258*E49))/0.28)</f>
        <v>2.8351840588521973</v>
      </c>
      <c r="G49" s="1">
        <f>F49*30.4*1.05</f>
        <v>90.49907515856215</v>
      </c>
      <c r="H49" s="1">
        <f t="shared" si="3"/>
        <v>146.9143377940105</v>
      </c>
      <c r="I49" s="1">
        <f aca="true" t="shared" si="6" ref="I49:I70">G51*$E$18</f>
        <v>23.319736157779445</v>
      </c>
      <c r="J49" s="1">
        <f t="shared" si="4"/>
        <v>30.4</v>
      </c>
      <c r="K49" s="1">
        <f t="shared" si="2"/>
        <v>91.19999999999999</v>
      </c>
      <c r="L49" s="4">
        <f t="shared" si="5"/>
        <v>64.96438356164384</v>
      </c>
    </row>
    <row r="50" spans="1:12" ht="12.75" hidden="1">
      <c r="A50">
        <v>4</v>
      </c>
      <c r="B50" s="1">
        <f aca="true" t="shared" si="7" ref="B50:B72">B49</f>
        <v>801.4228270955768</v>
      </c>
      <c r="C50" s="1">
        <f>C49+30.4*B50/1000</f>
        <v>134.28650788741106</v>
      </c>
      <c r="D50" s="17">
        <f t="shared" si="0"/>
        <v>122.1048809155583</v>
      </c>
      <c r="E50" s="1">
        <f t="shared" si="1"/>
        <v>4.8048803550560875</v>
      </c>
      <c r="F50" s="7">
        <f aca="true" t="shared" si="8" ref="F50:F72">EXP(LN((B50+1738)/(3079-258*E50))/0.28)</f>
        <v>3.164171358554164</v>
      </c>
      <c r="G50" s="1">
        <f aca="true" t="shared" si="9" ref="G50:G72">(F50*30.4*1.05)*100/$E$16</f>
        <v>106.3161576474199</v>
      </c>
      <c r="H50" s="1">
        <f t="shared" si="3"/>
        <v>159.14869599888473</v>
      </c>
      <c r="I50" s="1">
        <f t="shared" si="6"/>
        <v>25.261697777600755</v>
      </c>
      <c r="J50" s="1">
        <f t="shared" si="4"/>
        <v>30.4</v>
      </c>
      <c r="K50" s="1">
        <f t="shared" si="2"/>
        <v>91.19999999999999</v>
      </c>
      <c r="L50" s="4">
        <f t="shared" si="5"/>
        <v>64.96438356164384</v>
      </c>
    </row>
    <row r="51" spans="1:12" ht="12.75" hidden="1">
      <c r="A51">
        <v>5</v>
      </c>
      <c r="B51" s="1">
        <f t="shared" si="7"/>
        <v>801.4228270955768</v>
      </c>
      <c r="C51" s="1">
        <f aca="true" t="shared" si="10" ref="C51:C72">C50+30.4*B51/1000</f>
        <v>158.6497618311166</v>
      </c>
      <c r="D51" s="17">
        <f t="shared" si="0"/>
        <v>146.46813485926384</v>
      </c>
      <c r="E51" s="1">
        <f t="shared" si="1"/>
        <v>4.986807895305422</v>
      </c>
      <c r="F51" s="7">
        <f t="shared" si="8"/>
        <v>3.4701988330028932</v>
      </c>
      <c r="G51" s="1">
        <f t="shared" si="9"/>
        <v>116.59868078889723</v>
      </c>
      <c r="H51" s="1">
        <f t="shared" si="3"/>
        <v>170.82243836511458</v>
      </c>
      <c r="I51" s="1">
        <f t="shared" si="6"/>
        <v>27.114672756367398</v>
      </c>
      <c r="J51" s="1">
        <f t="shared" si="4"/>
        <v>30.4</v>
      </c>
      <c r="K51" s="1">
        <f t="shared" si="2"/>
        <v>91.19999999999999</v>
      </c>
      <c r="L51" s="4">
        <f t="shared" si="5"/>
        <v>64.96438356164384</v>
      </c>
    </row>
    <row r="52" spans="1:12" ht="12.75" hidden="1">
      <c r="A52">
        <v>6</v>
      </c>
      <c r="B52" s="1">
        <f t="shared" si="7"/>
        <v>801.4228270955768</v>
      </c>
      <c r="C52" s="1">
        <f t="shared" si="10"/>
        <v>183.01301577482212</v>
      </c>
      <c r="D52" s="17">
        <f t="shared" si="0"/>
        <v>170.83138880296934</v>
      </c>
      <c r="E52" s="1">
        <f t="shared" si="1"/>
        <v>5.140677039662906</v>
      </c>
      <c r="F52" s="7">
        <f t="shared" si="8"/>
        <v>3.7591812169048735</v>
      </c>
      <c r="G52" s="1">
        <f t="shared" si="9"/>
        <v>126.30848888800377</v>
      </c>
      <c r="H52" s="1">
        <f t="shared" si="3"/>
        <v>182.04615933566538</v>
      </c>
      <c r="I52" s="1">
        <f t="shared" si="6"/>
        <v>28.896215767565934</v>
      </c>
      <c r="J52" s="1">
        <f t="shared" si="4"/>
        <v>30.4</v>
      </c>
      <c r="K52" s="1">
        <f t="shared" si="2"/>
        <v>91.19999999999999</v>
      </c>
      <c r="L52" s="4">
        <f t="shared" si="5"/>
        <v>64.96438356164384</v>
      </c>
    </row>
    <row r="53" spans="1:12" ht="12.75" hidden="1">
      <c r="A53">
        <v>7</v>
      </c>
      <c r="B53" s="1">
        <f t="shared" si="7"/>
        <v>801.4228270955768</v>
      </c>
      <c r="C53" s="1">
        <f t="shared" si="10"/>
        <v>207.37626971852765</v>
      </c>
      <c r="D53" s="17">
        <f t="shared" si="0"/>
        <v>195.1946427466749</v>
      </c>
      <c r="E53" s="1">
        <f t="shared" si="1"/>
        <v>5.27399722865706</v>
      </c>
      <c r="F53" s="7">
        <f t="shared" si="8"/>
        <v>4.034921541126101</v>
      </c>
      <c r="G53" s="1">
        <f t="shared" si="9"/>
        <v>135.57336378183697</v>
      </c>
      <c r="H53" s="1">
        <f t="shared" si="3"/>
        <v>192.89960753060154</v>
      </c>
      <c r="I53" s="1">
        <f t="shared" si="6"/>
        <v>30.61898532231771</v>
      </c>
      <c r="J53" s="1">
        <f t="shared" si="4"/>
        <v>30.4</v>
      </c>
      <c r="K53" s="1">
        <f t="shared" si="2"/>
        <v>91.19999999999999</v>
      </c>
      <c r="L53" s="4">
        <f t="shared" si="5"/>
        <v>64.96438356164384</v>
      </c>
    </row>
    <row r="54" spans="1:12" ht="12.75" hidden="1">
      <c r="A54">
        <v>8</v>
      </c>
      <c r="B54" s="1">
        <f t="shared" si="7"/>
        <v>801.4228270955768</v>
      </c>
      <c r="C54" s="1">
        <f t="shared" si="10"/>
        <v>231.73952366223318</v>
      </c>
      <c r="D54" s="17">
        <f t="shared" si="0"/>
        <v>219.5578966903804</v>
      </c>
      <c r="E54" s="1">
        <f t="shared" si="1"/>
        <v>5.391615963978217</v>
      </c>
      <c r="F54" s="7">
        <f t="shared" si="8"/>
        <v>4.3000321082687405</v>
      </c>
      <c r="G54" s="1">
        <f t="shared" si="9"/>
        <v>144.48107883782967</v>
      </c>
      <c r="H54" s="1">
        <f t="shared" si="3"/>
        <v>203.44247334932328</v>
      </c>
      <c r="I54" s="1">
        <f t="shared" si="6"/>
        <v>32.292456087194175</v>
      </c>
      <c r="J54" s="1">
        <f t="shared" si="4"/>
        <v>30.4</v>
      </c>
      <c r="K54" s="1">
        <f t="shared" si="2"/>
        <v>91.19999999999999</v>
      </c>
      <c r="L54" s="4">
        <f t="shared" si="5"/>
        <v>64.96438356164384</v>
      </c>
    </row>
    <row r="55" spans="1:12" ht="12.75" hidden="1">
      <c r="A55">
        <v>9</v>
      </c>
      <c r="B55" s="1">
        <f t="shared" si="7"/>
        <v>801.4228270955768</v>
      </c>
      <c r="C55" s="1">
        <f t="shared" si="10"/>
        <v>256.10277760593874</v>
      </c>
      <c r="D55" s="17">
        <f t="shared" si="0"/>
        <v>243.92115063408596</v>
      </c>
      <c r="E55" s="1">
        <f t="shared" si="1"/>
        <v>5.4968450199289824</v>
      </c>
      <c r="F55" s="7">
        <f t="shared" si="8"/>
        <v>4.556396625344896</v>
      </c>
      <c r="G55" s="1">
        <f t="shared" si="9"/>
        <v>153.09492661158853</v>
      </c>
      <c r="H55" s="1">
        <f t="shared" si="3"/>
        <v>213.72077384075402</v>
      </c>
      <c r="I55" s="1">
        <f t="shared" si="6"/>
        <v>33.92393235567524</v>
      </c>
      <c r="J55" s="1">
        <f t="shared" si="4"/>
        <v>30.4</v>
      </c>
      <c r="K55" s="1">
        <f t="shared" si="2"/>
        <v>91.19999999999999</v>
      </c>
      <c r="L55" s="4">
        <f t="shared" si="5"/>
        <v>64.96438356164384</v>
      </c>
    </row>
    <row r="56" spans="1:12" ht="12.75" hidden="1">
      <c r="A56">
        <v>10</v>
      </c>
      <c r="B56" s="1">
        <f t="shared" si="7"/>
        <v>801.4228270955768</v>
      </c>
      <c r="C56" s="1">
        <f t="shared" si="10"/>
        <v>280.4660315496443</v>
      </c>
      <c r="D56" s="17">
        <f t="shared" si="0"/>
        <v>268.2844045777915</v>
      </c>
      <c r="E56" s="1">
        <f t="shared" si="1"/>
        <v>5.592047628935559</v>
      </c>
      <c r="F56" s="7">
        <f t="shared" si="8"/>
        <v>4.8054250129753235</v>
      </c>
      <c r="G56" s="1">
        <f t="shared" si="9"/>
        <v>161.46228043597085</v>
      </c>
      <c r="H56" s="1">
        <f t="shared" si="3"/>
        <v>223.77084703732393</v>
      </c>
      <c r="I56" s="1">
        <f t="shared" si="6"/>
        <v>35.519182069416495</v>
      </c>
      <c r="J56" s="1">
        <f t="shared" si="4"/>
        <v>30.4</v>
      </c>
      <c r="K56" s="1">
        <f t="shared" si="2"/>
        <v>91.19999999999999</v>
      </c>
      <c r="L56" s="4">
        <f t="shared" si="5"/>
        <v>64.96438356164384</v>
      </c>
    </row>
    <row r="57" spans="1:12" ht="12.75" hidden="1">
      <c r="A57">
        <v>11</v>
      </c>
      <c r="B57" s="1">
        <f t="shared" si="7"/>
        <v>801.4228270955768</v>
      </c>
      <c r="C57" s="1">
        <f t="shared" si="10"/>
        <v>304.82928549334986</v>
      </c>
      <c r="D57" s="17">
        <f t="shared" si="0"/>
        <v>292.6476585214971</v>
      </c>
      <c r="E57" s="1">
        <f t="shared" si="1"/>
        <v>5.678969354753564</v>
      </c>
      <c r="F57" s="7">
        <f t="shared" si="8"/>
        <v>5.04820421959453</v>
      </c>
      <c r="G57" s="1">
        <f t="shared" si="9"/>
        <v>169.6196617783762</v>
      </c>
      <c r="H57" s="1">
        <f t="shared" si="3"/>
        <v>233.62196475822927</v>
      </c>
      <c r="I57" s="1">
        <f t="shared" si="6"/>
        <v>37.082851548925284</v>
      </c>
      <c r="J57" s="1">
        <f t="shared" si="4"/>
        <v>30.4</v>
      </c>
      <c r="K57" s="1">
        <f t="shared" si="2"/>
        <v>91.19999999999999</v>
      </c>
      <c r="L57" s="4">
        <f t="shared" si="5"/>
        <v>64.96438356164384</v>
      </c>
    </row>
    <row r="58" spans="1:12" ht="12.75" hidden="1">
      <c r="A58">
        <v>12</v>
      </c>
      <c r="B58" s="1">
        <f t="shared" si="7"/>
        <v>801.4228270955768</v>
      </c>
      <c r="C58" s="1">
        <f t="shared" si="10"/>
        <v>329.1925394370554</v>
      </c>
      <c r="D58" s="17">
        <f t="shared" si="0"/>
        <v>317.01091246520264</v>
      </c>
      <c r="E58" s="1">
        <f t="shared" si="1"/>
        <v>5.758936197465232</v>
      </c>
      <c r="F58" s="7">
        <f t="shared" si="8"/>
        <v>5.2855925698536455</v>
      </c>
      <c r="G58" s="1">
        <f t="shared" si="9"/>
        <v>177.59591034708248</v>
      </c>
      <c r="H58" s="1">
        <f t="shared" si="3"/>
        <v>243.29810563856122</v>
      </c>
      <c r="I58" s="1">
        <f t="shared" si="6"/>
        <v>38.618746926755755</v>
      </c>
      <c r="J58" s="1">
        <f t="shared" si="4"/>
        <v>30.4</v>
      </c>
      <c r="K58" s="1">
        <f t="shared" si="2"/>
        <v>91.19999999999999</v>
      </c>
      <c r="L58" s="4">
        <f t="shared" si="5"/>
        <v>64.96438356164384</v>
      </c>
    </row>
    <row r="59" spans="1:12" ht="12.75" hidden="1">
      <c r="A59">
        <v>13</v>
      </c>
      <c r="B59" s="1">
        <f t="shared" si="7"/>
        <v>801.4228270955768</v>
      </c>
      <c r="C59" s="1">
        <f t="shared" si="10"/>
        <v>353.555793380761</v>
      </c>
      <c r="D59" s="17">
        <f t="shared" si="0"/>
        <v>341.3741664089082</v>
      </c>
      <c r="E59" s="1">
        <f t="shared" si="1"/>
        <v>5.832979137927565</v>
      </c>
      <c r="F59" s="7">
        <f t="shared" si="8"/>
        <v>5.518281480494834</v>
      </c>
      <c r="G59" s="1">
        <f t="shared" si="9"/>
        <v>185.4142577446264</v>
      </c>
      <c r="H59" s="1">
        <f t="shared" si="3"/>
        <v>252.81919590624327</v>
      </c>
      <c r="I59" s="1">
        <f t="shared" si="6"/>
        <v>40.13003109622909</v>
      </c>
      <c r="J59" s="1">
        <f t="shared" si="4"/>
        <v>30.4</v>
      </c>
      <c r="K59" s="1">
        <f t="shared" si="2"/>
        <v>91.19999999999999</v>
      </c>
      <c r="L59" s="4">
        <f t="shared" si="5"/>
        <v>64.96438356164384</v>
      </c>
    </row>
    <row r="60" spans="1:12" ht="12.75" hidden="1">
      <c r="A60">
        <v>14</v>
      </c>
      <c r="B60" s="1">
        <f t="shared" si="7"/>
        <v>801.4228270955768</v>
      </c>
      <c r="C60" s="1">
        <f t="shared" si="10"/>
        <v>377.91904732446653</v>
      </c>
      <c r="D60" s="17">
        <f t="shared" si="0"/>
        <v>365.73742035261375</v>
      </c>
      <c r="E60" s="1">
        <f t="shared" si="1"/>
        <v>5.901915645194221</v>
      </c>
      <c r="F60" s="7">
        <f t="shared" si="8"/>
        <v>5.746837340291035</v>
      </c>
      <c r="G60" s="1">
        <f t="shared" si="9"/>
        <v>193.09373463377875</v>
      </c>
      <c r="H60" s="1">
        <f t="shared" si="3"/>
        <v>262.20200072990474</v>
      </c>
      <c r="I60" s="1">
        <f t="shared" si="6"/>
        <v>41.619365195222976</v>
      </c>
      <c r="J60" s="1">
        <f t="shared" si="4"/>
        <v>30.4</v>
      </c>
      <c r="K60" s="1">
        <f t="shared" si="2"/>
        <v>91.19999999999999</v>
      </c>
      <c r="L60" s="4">
        <f t="shared" si="5"/>
        <v>64.96438356164384</v>
      </c>
    </row>
    <row r="61" spans="1:12" ht="12.75" hidden="1">
      <c r="A61">
        <v>15</v>
      </c>
      <c r="B61" s="1">
        <f t="shared" si="7"/>
        <v>801.4228270955768</v>
      </c>
      <c r="C61" s="1">
        <f t="shared" si="10"/>
        <v>402.2823012681721</v>
      </c>
      <c r="D61" s="17">
        <f t="shared" si="0"/>
        <v>390.1006742963193</v>
      </c>
      <c r="E61" s="1">
        <f t="shared" si="1"/>
        <v>5.9664048450328275</v>
      </c>
      <c r="F61" s="7">
        <f t="shared" si="8"/>
        <v>5.971730817891235</v>
      </c>
      <c r="G61" s="1">
        <f t="shared" si="9"/>
        <v>200.65015548114545</v>
      </c>
      <c r="H61" s="1">
        <f t="shared" si="3"/>
        <v>271.4607791600895</v>
      </c>
      <c r="I61" s="1">
        <f t="shared" si="6"/>
        <v>43.089012565093576</v>
      </c>
      <c r="J61" s="1">
        <f t="shared" si="4"/>
        <v>30.4</v>
      </c>
      <c r="K61" s="1">
        <f t="shared" si="2"/>
        <v>91.19999999999999</v>
      </c>
      <c r="L61" s="4">
        <f t="shared" si="5"/>
        <v>64.96438356164384</v>
      </c>
    </row>
    <row r="62" spans="1:12" ht="12.75" hidden="1">
      <c r="A62">
        <v>16</v>
      </c>
      <c r="B62" s="1">
        <f t="shared" si="7"/>
        <v>801.4228270955768</v>
      </c>
      <c r="C62" s="1">
        <f t="shared" si="10"/>
        <v>426.64555521187765</v>
      </c>
      <c r="D62" s="17">
        <f t="shared" si="0"/>
        <v>414.46392824002487</v>
      </c>
      <c r="E62" s="1">
        <f t="shared" si="1"/>
        <v>6.026985946035822</v>
      </c>
      <c r="F62" s="7">
        <f t="shared" si="8"/>
        <v>6.1933579159558</v>
      </c>
      <c r="G62" s="1">
        <f t="shared" si="9"/>
        <v>208.09682597611487</v>
      </c>
      <c r="H62" s="1">
        <f t="shared" si="3"/>
        <v>280.6077749162917</v>
      </c>
      <c r="I62" s="1">
        <f t="shared" si="6"/>
        <v>44.54091665337964</v>
      </c>
      <c r="J62" s="1">
        <f t="shared" si="4"/>
        <v>30.4</v>
      </c>
      <c r="K62" s="1">
        <f t="shared" si="2"/>
        <v>91.19999999999999</v>
      </c>
      <c r="L62" s="4">
        <f t="shared" si="5"/>
        <v>64.96438356164384</v>
      </c>
    </row>
    <row r="63" spans="1:14" ht="12.75" hidden="1">
      <c r="A63">
        <v>17</v>
      </c>
      <c r="B63" s="1">
        <f t="shared" si="7"/>
        <v>801.4228270955768</v>
      </c>
      <c r="C63" s="1">
        <f t="shared" si="10"/>
        <v>451.0088091555832</v>
      </c>
      <c r="D63" s="17">
        <f t="shared" si="0"/>
        <v>438.82718218373043</v>
      </c>
      <c r="E63" s="1">
        <f t="shared" si="1"/>
        <v>6.084105673118128</v>
      </c>
      <c r="F63" s="7">
        <f t="shared" si="8"/>
        <v>6.4120554412341635</v>
      </c>
      <c r="G63" s="1">
        <f t="shared" si="9"/>
        <v>215.44506282546786</v>
      </c>
      <c r="H63" s="1">
        <f t="shared" si="3"/>
        <v>289.6535905714192</v>
      </c>
      <c r="I63" s="1">
        <f t="shared" si="6"/>
        <v>45.97676040816179</v>
      </c>
      <c r="J63" s="1">
        <f t="shared" si="4"/>
        <v>30.4</v>
      </c>
      <c r="K63" s="1">
        <f t="shared" si="2"/>
        <v>91.19999999999999</v>
      </c>
      <c r="L63" s="4">
        <f t="shared" si="5"/>
        <v>64.96438356164384</v>
      </c>
      <c r="M63" s="7"/>
      <c r="N63" s="1"/>
    </row>
    <row r="64" spans="1:12" ht="12.75" hidden="1">
      <c r="A64">
        <v>18</v>
      </c>
      <c r="B64" s="1">
        <f t="shared" si="7"/>
        <v>801.4228270955768</v>
      </c>
      <c r="C64" s="1">
        <f t="shared" si="10"/>
        <v>475.37206309928877</v>
      </c>
      <c r="D64" s="17">
        <f t="shared" si="0"/>
        <v>463.190436127436</v>
      </c>
      <c r="E64" s="1">
        <f t="shared" si="1"/>
        <v>6.138138278652352</v>
      </c>
      <c r="F64" s="7">
        <f t="shared" si="8"/>
        <v>6.628112597229111</v>
      </c>
      <c r="G64" s="1">
        <f t="shared" si="9"/>
        <v>222.70458326689817</v>
      </c>
      <c r="H64" s="1">
        <f t="shared" si="3"/>
        <v>298.6074772359883</v>
      </c>
      <c r="I64" s="1">
        <f t="shared" si="6"/>
        <v>47.398012259680684</v>
      </c>
      <c r="J64" s="1">
        <f t="shared" si="4"/>
        <v>30.4</v>
      </c>
      <c r="K64" s="1">
        <f t="shared" si="2"/>
        <v>91.19999999999999</v>
      </c>
      <c r="L64" s="4">
        <f t="shared" si="5"/>
        <v>64.96438356164384</v>
      </c>
    </row>
    <row r="65" spans="1:12" ht="12.75" hidden="1">
      <c r="A65">
        <v>19</v>
      </c>
      <c r="B65" s="1">
        <f t="shared" si="7"/>
        <v>801.4228270955768</v>
      </c>
      <c r="C65" s="1">
        <f t="shared" si="10"/>
        <v>499.7353170429943</v>
      </c>
      <c r="D65" s="17">
        <f t="shared" si="0"/>
        <v>487.55369007114155</v>
      </c>
      <c r="E65" s="1">
        <f t="shared" si="1"/>
        <v>6.18940041785292</v>
      </c>
      <c r="F65" s="7">
        <f t="shared" si="8"/>
        <v>6.841779822643122</v>
      </c>
      <c r="G65" s="1">
        <f t="shared" si="9"/>
        <v>229.88380204080892</v>
      </c>
      <c r="H65" s="1">
        <f t="shared" si="3"/>
        <v>307.4775619076104</v>
      </c>
      <c r="I65" s="1">
        <f t="shared" si="6"/>
        <v>48.8059622075572</v>
      </c>
      <c r="J65" s="1">
        <f t="shared" si="4"/>
        <v>30.4</v>
      </c>
      <c r="K65" s="1">
        <f t="shared" si="2"/>
        <v>91.19999999999999</v>
      </c>
      <c r="L65" s="4">
        <f t="shared" si="5"/>
        <v>64.96438356164384</v>
      </c>
    </row>
    <row r="66" spans="1:12" ht="12.75" hidden="1">
      <c r="A66">
        <v>20</v>
      </c>
      <c r="B66" s="1">
        <f t="shared" si="7"/>
        <v>801.4228270955768</v>
      </c>
      <c r="C66" s="1">
        <f t="shared" si="10"/>
        <v>524.0985709866999</v>
      </c>
      <c r="D66" s="17">
        <f t="shared" si="0"/>
        <v>511.9169440148471</v>
      </c>
      <c r="E66" s="1">
        <f t="shared" si="1"/>
        <v>6.238162393159627</v>
      </c>
      <c r="F66" s="7">
        <f t="shared" si="8"/>
        <v>7.0532756338810545</v>
      </c>
      <c r="G66" s="1">
        <f t="shared" si="9"/>
        <v>236.99006129840342</v>
      </c>
      <c r="H66" s="1">
        <f t="shared" si="3"/>
        <v>316.27102809999377</v>
      </c>
      <c r="I66" s="1">
        <f t="shared" si="6"/>
        <v>50.2017504920625</v>
      </c>
      <c r="J66" s="1">
        <f t="shared" si="4"/>
        <v>30.4</v>
      </c>
      <c r="K66" s="1">
        <f t="shared" si="2"/>
        <v>91.19999999999999</v>
      </c>
      <c r="L66" s="4">
        <f t="shared" si="5"/>
        <v>64.96438356164384</v>
      </c>
    </row>
    <row r="67" spans="1:12" ht="12.75" hidden="1">
      <c r="A67">
        <v>21</v>
      </c>
      <c r="B67" s="1">
        <f t="shared" si="7"/>
        <v>801.4228270955768</v>
      </c>
      <c r="C67" s="1">
        <f t="shared" si="10"/>
        <v>548.4618249304054</v>
      </c>
      <c r="D67" s="17">
        <f t="shared" si="0"/>
        <v>536.2801979585527</v>
      </c>
      <c r="E67" s="1">
        <f t="shared" si="1"/>
        <v>6.284656781866119</v>
      </c>
      <c r="F67" s="7">
        <f t="shared" si="8"/>
        <v>7.262791995172202</v>
      </c>
      <c r="G67" s="1">
        <f t="shared" si="9"/>
        <v>244.029811037786</v>
      </c>
      <c r="H67" s="1">
        <f t="shared" si="3"/>
        <v>324.994260949887</v>
      </c>
      <c r="I67" s="1">
        <f t="shared" si="6"/>
        <v>51.58639062696619</v>
      </c>
      <c r="J67" s="1">
        <f t="shared" si="4"/>
        <v>30.4</v>
      </c>
      <c r="K67" s="1">
        <f t="shared" si="2"/>
        <v>91.19999999999999</v>
      </c>
      <c r="L67" s="4">
        <f t="shared" si="5"/>
        <v>64.96438356164384</v>
      </c>
    </row>
    <row r="68" spans="1:12" ht="12.75" hidden="1">
      <c r="A68">
        <v>22</v>
      </c>
      <c r="B68" s="1">
        <f t="shared" si="7"/>
        <v>801.4228270955768</v>
      </c>
      <c r="C68" s="1">
        <f t="shared" si="10"/>
        <v>572.825078874111</v>
      </c>
      <c r="D68" s="17">
        <f t="shared" si="0"/>
        <v>560.6434519022582</v>
      </c>
      <c r="E68" s="1">
        <f t="shared" si="1"/>
        <v>6.329085145363536</v>
      </c>
      <c r="F68" s="7">
        <f t="shared" si="8"/>
        <v>7.470498585128348</v>
      </c>
      <c r="G68" s="1">
        <f t="shared" si="9"/>
        <v>251.0087524603125</v>
      </c>
      <c r="H68" s="1">
        <f t="shared" si="3"/>
        <v>333.65296496445484</v>
      </c>
      <c r="I68" s="1">
        <f t="shared" si="6"/>
        <v>52.96078808959601</v>
      </c>
      <c r="J68" s="1">
        <f t="shared" si="4"/>
        <v>30.4</v>
      </c>
      <c r="K68" s="1">
        <f t="shared" si="2"/>
        <v>91.19999999999999</v>
      </c>
      <c r="L68" s="4">
        <f t="shared" si="5"/>
        <v>64.96438356164384</v>
      </c>
    </row>
    <row r="69" spans="1:12" ht="12.75" hidden="1">
      <c r="A69">
        <v>23</v>
      </c>
      <c r="B69" s="1">
        <f t="shared" si="7"/>
        <v>801.4228270955768</v>
      </c>
      <c r="C69" s="1">
        <f t="shared" si="10"/>
        <v>597.1883328178166</v>
      </c>
      <c r="D69" s="17">
        <f t="shared" si="0"/>
        <v>585.0067058459638</v>
      </c>
      <c r="E69" s="1">
        <f t="shared" si="1"/>
        <v>6.37162331015071</v>
      </c>
      <c r="F69" s="7">
        <f t="shared" si="8"/>
        <v>7.676546224250921</v>
      </c>
      <c r="G69" s="1">
        <f t="shared" si="9"/>
        <v>257.93195313483096</v>
      </c>
      <c r="H69" s="1">
        <f t="shared" si="3"/>
        <v>342.25226044654</v>
      </c>
      <c r="I69" s="1">
        <f t="shared" si="6"/>
        <v>54.325755626434926</v>
      </c>
      <c r="J69" s="1">
        <f t="shared" si="4"/>
        <v>30.4</v>
      </c>
      <c r="K69" s="1">
        <f t="shared" si="2"/>
        <v>91.19999999999999</v>
      </c>
      <c r="L69" s="4">
        <f t="shared" si="5"/>
        <v>64.96438356164384</v>
      </c>
    </row>
    <row r="70" spans="1:12" ht="12.75" hidden="1">
      <c r="A70">
        <v>24</v>
      </c>
      <c r="B70" s="1">
        <f t="shared" si="7"/>
        <v>801.4228270955768</v>
      </c>
      <c r="C70" s="1">
        <f t="shared" si="10"/>
        <v>621.5515867615221</v>
      </c>
      <c r="D70" s="17">
        <f t="shared" si="0"/>
        <v>609.3699597896693</v>
      </c>
      <c r="E70" s="1">
        <f t="shared" si="1"/>
        <v>6.412425570603517</v>
      </c>
      <c r="F70" s="7">
        <f t="shared" si="8"/>
        <v>7.881069656189883</v>
      </c>
      <c r="G70" s="1">
        <f t="shared" si="9"/>
        <v>264.80394044798004</v>
      </c>
      <c r="H70" s="8">
        <f t="shared" si="3"/>
        <v>350.7967631235368</v>
      </c>
      <c r="I70" s="8">
        <f t="shared" si="6"/>
        <v>55.682025892624885</v>
      </c>
      <c r="J70" s="8">
        <f t="shared" si="4"/>
        <v>30.4</v>
      </c>
      <c r="K70" s="8">
        <f t="shared" si="2"/>
        <v>91.19999999999999</v>
      </c>
      <c r="L70" s="65">
        <f t="shared" si="5"/>
        <v>64.96438356164384</v>
      </c>
    </row>
    <row r="71" spans="1:11" ht="12.75" hidden="1">
      <c r="A71">
        <v>25</v>
      </c>
      <c r="B71" s="1">
        <f t="shared" si="7"/>
        <v>801.4228270955768</v>
      </c>
      <c r="C71" s="1">
        <f t="shared" si="10"/>
        <v>645.9148407052277</v>
      </c>
      <c r="D71" s="17">
        <f t="shared" si="0"/>
        <v>633.7332137333749</v>
      </c>
      <c r="E71" s="1">
        <f t="shared" si="1"/>
        <v>6.451628067348881</v>
      </c>
      <c r="F71" s="7">
        <f t="shared" si="8"/>
        <v>8.084189825362339</v>
      </c>
      <c r="G71" s="1">
        <f t="shared" si="9"/>
        <v>271.6287781321746</v>
      </c>
      <c r="H71" s="15"/>
      <c r="K71" s="62"/>
    </row>
    <row r="72" spans="1:7" ht="12.75" hidden="1">
      <c r="A72" s="6">
        <v>26</v>
      </c>
      <c r="B72" s="8">
        <f t="shared" si="7"/>
        <v>801.4228270955768</v>
      </c>
      <c r="C72" s="8">
        <f t="shared" si="10"/>
        <v>670.2780946489332</v>
      </c>
      <c r="D72" s="64">
        <f t="shared" si="0"/>
        <v>658.0964676770805</v>
      </c>
      <c r="E72" s="8">
        <f t="shared" si="1"/>
        <v>6.489351527991477</v>
      </c>
      <c r="F72" s="11">
        <f t="shared" si="8"/>
        <v>8.286015757831084</v>
      </c>
      <c r="G72" s="8">
        <f t="shared" si="9"/>
        <v>278.4101294631244</v>
      </c>
    </row>
    <row r="73" ht="12.75" hidden="1">
      <c r="G73" s="7"/>
    </row>
    <row r="74" ht="12.75" hidden="1"/>
    <row r="75" ht="12.75" hidden="1"/>
    <row r="76" ht="12.75" hidden="1">
      <c r="A76" t="s">
        <v>64</v>
      </c>
    </row>
    <row r="77" ht="12.75" hidden="1">
      <c r="D77" t="s">
        <v>69</v>
      </c>
    </row>
    <row r="78" spans="3:4" ht="12.75" hidden="1">
      <c r="C78">
        <v>0</v>
      </c>
      <c r="D78">
        <f>E7-E6</f>
        <v>2</v>
      </c>
    </row>
    <row r="79" spans="1:3" ht="12.75" hidden="1">
      <c r="A79" s="1" t="s">
        <v>65</v>
      </c>
      <c r="B79" s="1">
        <v>10</v>
      </c>
      <c r="C79" s="1">
        <f>B79</f>
        <v>10</v>
      </c>
    </row>
    <row r="80" spans="1:3" ht="12.75" hidden="1">
      <c r="A80" s="61" t="s">
        <v>66</v>
      </c>
      <c r="B80" s="1">
        <v>18</v>
      </c>
      <c r="C80" s="1">
        <f>B79+B80</f>
        <v>28</v>
      </c>
    </row>
    <row r="81" spans="1:3" ht="12.75" hidden="1">
      <c r="A81" s="61" t="s">
        <v>67</v>
      </c>
      <c r="B81" s="1">
        <v>32</v>
      </c>
      <c r="C81" s="1">
        <f>B79+B80+B81</f>
        <v>60</v>
      </c>
    </row>
    <row r="82" spans="1:5" ht="12.75" hidden="1">
      <c r="A82" s="61" t="s">
        <v>68</v>
      </c>
      <c r="B82" s="1">
        <v>60</v>
      </c>
      <c r="C82" s="1">
        <f>B79+B80+B81+B82</f>
        <v>120</v>
      </c>
      <c r="D82">
        <f>SUM(IF(D78=0,C82,0),IF(D78=1,C81,0),IF(D78=2,C80,0),IF(D78=3,C79,0),IF(D78=4,C78,0))</f>
        <v>28</v>
      </c>
      <c r="E82" t="s">
        <v>70</v>
      </c>
    </row>
    <row r="83" ht="12.75" hidden="1">
      <c r="A83" s="61"/>
    </row>
    <row r="84" ht="12.75" hidden="1"/>
  </sheetData>
  <sheetProtection password="94C4" sheet="1" objects="1"/>
  <mergeCells count="48">
    <mergeCell ref="A7:D7"/>
    <mergeCell ref="H7:K7"/>
    <mergeCell ref="A3:F3"/>
    <mergeCell ref="H3:K3"/>
    <mergeCell ref="A4:D4"/>
    <mergeCell ref="A5:D5"/>
    <mergeCell ref="H5:L5"/>
    <mergeCell ref="A6:D6"/>
    <mergeCell ref="H6:K6"/>
    <mergeCell ref="A8:D8"/>
    <mergeCell ref="H8:L8"/>
    <mergeCell ref="A9:D9"/>
    <mergeCell ref="H9:L9"/>
    <mergeCell ref="A10:D10"/>
    <mergeCell ref="H10:K10"/>
    <mergeCell ref="H11:K11"/>
    <mergeCell ref="A12:D12"/>
    <mergeCell ref="H12:K12"/>
    <mergeCell ref="A13:D13"/>
    <mergeCell ref="H13:K13"/>
    <mergeCell ref="A14:D14"/>
    <mergeCell ref="H14:K14"/>
    <mergeCell ref="A18:D18"/>
    <mergeCell ref="A19:F19"/>
    <mergeCell ref="H17:K17"/>
    <mergeCell ref="A20:D20"/>
    <mergeCell ref="H18:K18"/>
    <mergeCell ref="A15:D15"/>
    <mergeCell ref="H15:K15"/>
    <mergeCell ref="A16:D16"/>
    <mergeCell ref="H16:K16"/>
    <mergeCell ref="A17:F17"/>
    <mergeCell ref="A21:D21"/>
    <mergeCell ref="H19:K19"/>
    <mergeCell ref="A22:D22"/>
    <mergeCell ref="H20:K20"/>
    <mergeCell ref="H21:K21"/>
    <mergeCell ref="A24:D24"/>
    <mergeCell ref="A25:D25"/>
    <mergeCell ref="A26:D26"/>
    <mergeCell ref="A27:D27"/>
    <mergeCell ref="A28:D28"/>
    <mergeCell ref="A34:D34"/>
    <mergeCell ref="A38:D38"/>
    <mergeCell ref="A30:D30"/>
    <mergeCell ref="A31:D31"/>
    <mergeCell ref="A32:D32"/>
    <mergeCell ref="A33:F33"/>
  </mergeCells>
  <conditionalFormatting sqref="E6">
    <cfRule type="cellIs" priority="5" dxfId="0" operator="lessThan" stopIfTrue="1">
      <formula>$E$5</formula>
    </cfRule>
    <cfRule type="iconSet" priority="4" dxfId="0">
      <iconSet iconSet="3TrafficLights1">
        <cfvo type="percent" val="0"/>
        <cfvo type="num" val="'Stor race'!$E$5"/>
        <cfvo gte="0" type="num" val="'Stor race'!$E$5"/>
      </iconSet>
    </cfRule>
  </conditionalFormatting>
  <conditionalFormatting sqref="G5">
    <cfRule type="iconSet" priority="3" dxfId="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5">
    <cfRule type="iconSet" priority="1" dxfId="0">
      <iconSet iconSet="3TrafficLights1" reverse="1">
        <cfvo type="percent" val="0"/>
        <cfvo type="num" val="'Stor race'!$E$6"/>
        <cfvo gte="0" type="num" val="'Stor race'!$E$6"/>
      </iconSet>
    </cfRule>
    <cfRule type="iconSet" priority="2" dxfId="0">
      <iconSet iconSet="3TrafficLights1" reverse="1">
        <cfvo type="percent" val="0"/>
        <cfvo type="num" val="'Stor race'!$E$5"/>
        <cfvo gte="0" type="num" val="'Stor race'!$E$6"/>
      </iconSet>
    </cfRule>
  </conditionalFormatting>
  <dataValidations count="2">
    <dataValidation type="list" allowBlank="1" showErrorMessage="1" errorTitle="Ugyldig afgangsalder" error="Alder ved afgang skal være højere end alder ved indgang" sqref="E6">
      <formula1>$A$45:$A$72</formula1>
    </dataValidation>
    <dataValidation type="list" operator="lessThan" allowBlank="1" showErrorMessage="1" errorTitle="Ugyldig indgangsalder" error="Alder ved indgang skal være lavere end alder ved afgang" sqref="E5">
      <formula1>$A$45:$A$72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E21" sqref="E21"/>
    </sheetView>
  </sheetViews>
  <sheetFormatPr defaultColWidth="9.140625" defaultRowHeight="12.75"/>
  <cols>
    <col min="4" max="4" width="13.7109375" style="0" customWidth="1"/>
    <col min="6" max="6" width="12.28125" style="0" customWidth="1"/>
    <col min="7" max="7" width="12.57421875" style="0" customWidth="1"/>
    <col min="9" max="9" width="11.00390625" style="0" bestFit="1" customWidth="1"/>
    <col min="11" max="11" width="16.00390625" style="0" customWidth="1"/>
    <col min="12" max="12" width="24.421875" style="0" customWidth="1"/>
    <col min="13" max="13" width="15.28125" style="0" bestFit="1" customWidth="1"/>
  </cols>
  <sheetData>
    <row r="1" spans="1:10" ht="26.25">
      <c r="A1" s="18" t="s">
        <v>79</v>
      </c>
      <c r="E1" s="16"/>
      <c r="J1" s="16"/>
    </row>
    <row r="2" spans="1:10" ht="10.5" customHeight="1" thickBot="1">
      <c r="A2" s="18"/>
      <c r="E2" s="16"/>
      <c r="J2" s="16"/>
    </row>
    <row r="3" spans="1:12" ht="18.75" thickBot="1">
      <c r="A3" s="114" t="s">
        <v>19</v>
      </c>
      <c r="B3" s="114"/>
      <c r="C3" s="114"/>
      <c r="D3" s="114"/>
      <c r="E3" s="114"/>
      <c r="F3" s="115"/>
      <c r="G3" s="22"/>
      <c r="H3" s="116" t="s">
        <v>62</v>
      </c>
      <c r="I3" s="117"/>
      <c r="J3" s="117"/>
      <c r="K3" s="118"/>
      <c r="L3" s="51" t="str">
        <f>CONCATENATE("Kvie, ",E5," - ",E6," mdr")</f>
        <v>Kvie, 0,5 - 20 mdr</v>
      </c>
    </row>
    <row r="4" spans="1:12" ht="18.75" thickBot="1">
      <c r="A4" s="119"/>
      <c r="B4" s="119"/>
      <c r="C4" s="119"/>
      <c r="D4" s="119"/>
      <c r="E4" s="49" t="s">
        <v>54</v>
      </c>
      <c r="F4" s="48" t="s">
        <v>55</v>
      </c>
      <c r="G4" s="22"/>
      <c r="H4" s="53"/>
      <c r="I4" s="52"/>
      <c r="J4" s="52"/>
      <c r="K4" s="52"/>
      <c r="L4" s="54"/>
    </row>
    <row r="5" spans="1:13" ht="16.5" thickBot="1">
      <c r="A5" s="79" t="s">
        <v>33</v>
      </c>
      <c r="B5" s="79"/>
      <c r="C5" s="79"/>
      <c r="D5" s="79"/>
      <c r="E5" s="66">
        <v>0.5</v>
      </c>
      <c r="F5" s="23" t="s">
        <v>24</v>
      </c>
      <c r="G5" s="22"/>
      <c r="H5" s="106" t="s">
        <v>60</v>
      </c>
      <c r="I5" s="107"/>
      <c r="J5" s="107"/>
      <c r="K5" s="107"/>
      <c r="L5" s="108"/>
      <c r="M5" s="12"/>
    </row>
    <row r="6" spans="1:12" ht="15">
      <c r="A6" s="76" t="s">
        <v>32</v>
      </c>
      <c r="B6" s="76"/>
      <c r="C6" s="76"/>
      <c r="D6" s="76"/>
      <c r="E6" s="67">
        <v>20</v>
      </c>
      <c r="F6" s="24" t="s">
        <v>24</v>
      </c>
      <c r="G6" s="22"/>
      <c r="H6" s="110" t="s">
        <v>63</v>
      </c>
      <c r="I6" s="79"/>
      <c r="J6" s="79"/>
      <c r="K6" s="111"/>
      <c r="L6" s="39">
        <f>SUM(IF(AND(A46&gt;$E$5,A46&lt;=$E$6),G46,0),IF(AND(A47&gt;$E$5,A47&lt;=$E$6),G47,0),IF(AND(A48&gt;$E$5,A48&lt;=$E$6),G48,0),IF(AND(A49&gt;$E$5,A49&lt;=$E$6),G49,0),IF(AND(A50&gt;$E$5,A50&lt;=$E$6),G50,0),IF(AND(A51&gt;$E$5,A51&lt;=$E$6),G51,0),IF(AND(A52&gt;$E$5,A52&lt;=$E$6),G52,0),IF(AND(A53&gt;$E$5,A53&lt;=$E$6),G53,0),IF(AND(A54&gt;$E$5,A54&lt;=$E$6),G54,0),IF(AND(A55&gt;$E$5,A55&lt;=$E$6),G55,0),IF(AND(A56&gt;$E$5,A56&lt;=$E$6),G56,0),IF(AND(A57&gt;$E$5,A57&lt;=$E$6),G57,0),IF(AND(A58&gt;$E$5,A58&lt;=$E$6),G58,0),IF(AND(A59&gt;$E$5,A59&lt;=$E$6),G59,0),IF(AND(A60&gt;$E$5,A60&lt;=$E$6),G60,0),IF(AND(A61&gt;$E$5,A61&lt;=$E$6),G61,0),IF(AND(A62&gt;$E$5,A62&lt;=$E$6),G62,0),IF(AND(A63&gt;$E$5,A63&lt;=$E$6),G63,0),IF(AND(A64&gt;$E$5,A64&lt;=$E$6),G64,0),IF(AND(A65&gt;$E$5,A65&lt;=$E$6),G65,0),IF(AND(A66&gt;$E$5,A66&lt;=$E$6),G66,0),IF(AND(A67&gt;$E$5,A67&lt;=$E$6),G67,0),IF(AND(A68&gt;$E$5,A68&lt;=$E$6),G68,0),IF(AND(A69&gt;$E$5,A69&lt;=$E$6),G69,0),IF(AND(A70&gt;$E$5,A70&lt;=$E$6),G70,0),IF(AND(A71&gt;$E$5,A71&lt;=$E$6),G71,0),IF(AND(A72&gt;$E$5,A72&lt;=$E$6),G72,0))+D82</f>
        <v>2444.1285747126326</v>
      </c>
    </row>
    <row r="7" spans="1:15" ht="15.75" customHeight="1" thickBot="1">
      <c r="A7" s="76" t="s">
        <v>22</v>
      </c>
      <c r="B7" s="76"/>
      <c r="C7" s="76"/>
      <c r="D7" s="76"/>
      <c r="E7" s="67">
        <v>22</v>
      </c>
      <c r="F7" s="24" t="s">
        <v>24</v>
      </c>
      <c r="G7" s="38"/>
      <c r="H7" s="112" t="s">
        <v>50</v>
      </c>
      <c r="I7" s="80"/>
      <c r="J7" s="80"/>
      <c r="K7" s="113"/>
      <c r="L7" s="46">
        <f>L6/((E6-E5)*30.42)</f>
        <v>4.120313179103883</v>
      </c>
      <c r="M7" s="1"/>
      <c r="N7" s="1"/>
      <c r="O7" s="1"/>
    </row>
    <row r="8" spans="1:15" ht="15.75" thickBot="1">
      <c r="A8" s="76" t="s">
        <v>23</v>
      </c>
      <c r="B8" s="76"/>
      <c r="C8" s="76"/>
      <c r="D8" s="76"/>
      <c r="E8" s="67">
        <v>420</v>
      </c>
      <c r="F8" s="25" t="s">
        <v>25</v>
      </c>
      <c r="G8" s="22"/>
      <c r="H8" s="81"/>
      <c r="I8" s="81"/>
      <c r="J8" s="81"/>
      <c r="K8" s="81"/>
      <c r="L8" s="81"/>
      <c r="M8" s="1"/>
      <c r="N8" s="1"/>
      <c r="O8" s="1"/>
    </row>
    <row r="9" spans="1:15" ht="16.5" thickBot="1">
      <c r="A9" s="99" t="s">
        <v>27</v>
      </c>
      <c r="B9" s="76"/>
      <c r="C9" s="76"/>
      <c r="D9" s="76"/>
      <c r="E9" s="67">
        <v>500</v>
      </c>
      <c r="F9" s="24" t="s">
        <v>26</v>
      </c>
      <c r="G9" s="38"/>
      <c r="H9" s="106" t="s">
        <v>59</v>
      </c>
      <c r="I9" s="107"/>
      <c r="J9" s="107"/>
      <c r="K9" s="107"/>
      <c r="L9" s="108"/>
      <c r="M9" s="1"/>
      <c r="N9" s="1"/>
      <c r="O9" s="1"/>
    </row>
    <row r="10" spans="1:14" ht="15" customHeight="1" thickBot="1">
      <c r="A10" s="109" t="s">
        <v>28</v>
      </c>
      <c r="B10" s="77"/>
      <c r="C10" s="77"/>
      <c r="D10" s="77"/>
      <c r="E10" s="68">
        <f>((E8-43-12*7*E9/1000)/((E7-2.8)*30.5))*1000</f>
        <v>572.0628415300546</v>
      </c>
      <c r="F10" s="28" t="s">
        <v>26</v>
      </c>
      <c r="H10" s="110" t="s">
        <v>11</v>
      </c>
      <c r="I10" s="79"/>
      <c r="J10" s="79"/>
      <c r="K10" s="111"/>
      <c r="L10" s="47">
        <f>SUM(IF(AND(A46&gt;$E$5,A46&lt;=$E$6),H45,0),IF(AND(A47&gt;$E$5,A47&lt;=$E$6),H46,0),IF(AND(A48&gt;$E$5,A48&lt;=$E$6),H47,0),IF(AND(A49&gt;$E$5,A49&lt;=$E$6),H48,0),IF(AND(A50&gt;$E$5,A50&lt;=$E$6),H49,0),IF(AND(A51&gt;$E$5,A51&lt;=$E$6),H50,0),IF(AND(A52&gt;$E$5,A52&lt;=$E$6),H51,0),IF(AND(A53&gt;$E$5,A53&lt;=$E$6),H52,0),IF(AND(A54&gt;$E$5,A54&lt;=$E$6),H53,0),IF(AND(A55&gt;$E$5,A55&lt;=$E$6),H54,0),IF(AND(A56&gt;$E$5,A56&lt;=$E$6),H55,0),IF(AND(A57&gt;$E$5,A57&lt;=$E$6),H56,0),IF(AND(A58&gt;$E$5,A58&lt;=$E$6),H57,0),IF(AND(A59&gt;$E$5,A59&lt;=$E$6),H58,0),IF(AND(A60&gt;$E$5,A60&lt;=$E$6),H59,0),IF(AND(A61&gt;$E$5,A61&lt;=$E$6),H60,0),IF(AND(A62&gt;$E$5,A62&lt;=$E$6),H61,0),IF(AND(A63&gt;$E$5,A63&lt;=$E$6),H62,0),IF(AND(A64&gt;$E$5,A64&lt;=$E$6),H63,0),IF(AND(A65&gt;$E$5,A65&lt;=$E$6),H64,0),IF(AND(A66&gt;$E$5,A66&lt;=$E$6),H65,0),IF(AND(A67&gt;$E$5,A67&lt;=$E$6),H66,0),IF(AND(A68&gt;$E$5,A68&lt;=$E$6),H67,0),IF(AND(A69&gt;$E$5,A69&lt;=$E$6),H68,0),IF(AND(A70&gt;$E$5,A70&lt;=$E$6),H69,0),IF(AND(A71&gt;$E$5,A71&lt;=$E$6),H70,0),IF(AND(A72&gt;$E$5,A72&lt;=$E$6),H71,0))+D82*E38</f>
        <v>2989.3078098124706</v>
      </c>
      <c r="M10" s="1"/>
      <c r="N10" s="7"/>
    </row>
    <row r="11" spans="1:14" ht="15.75" thickBot="1">
      <c r="A11" s="19"/>
      <c r="B11" s="19"/>
      <c r="C11" s="19"/>
      <c r="D11" s="19"/>
      <c r="E11" s="20"/>
      <c r="F11" s="27"/>
      <c r="G11" s="50"/>
      <c r="H11" s="99" t="s">
        <v>20</v>
      </c>
      <c r="I11" s="76"/>
      <c r="J11" s="76"/>
      <c r="K11" s="100"/>
      <c r="L11" s="42">
        <f>SUM(IF(AND(A46&gt;$E$5,A46&lt;=$E$6),I45,0),IF(AND(A47&gt;$E$5,A47&lt;=$E$6),I46,0),IF(AND(A48&gt;$E$5,A48&lt;=$E$6),I47,0),IF(AND(A49&gt;$E$5,A49&lt;=$E$6),I48,0),IF(AND(A50&gt;$E$5,A50&lt;=$E$6),I49,0),IF(AND(A51&gt;$E$5,A51&lt;=$E$6),I50,0),IF(AND(A52&gt;$E$5,A52&lt;=$E$6),I51,0),IF(AND(A53&gt;$E$5,A53&lt;=$E$6),I52,0),IF(AND(A54&gt;$E$5,A54&lt;=$E$6),I53,0),IF(AND(A55&gt;$E$5,A55&lt;=$E$6),I54,0),IF(AND(A56&gt;$E$5,A56&lt;=$E$6),I55,0),IF(AND(A57&gt;$E$5,A57&lt;=$E$6),I56,0),IF(AND(A58&gt;$E$5,A58&lt;=$E$6),I57,0),IF(AND(A59&gt;$E$5,A59&lt;=$E$6),I58,0),IF(AND(A60&gt;$E$5,A60&lt;=$E$6),I59,0),IF(AND(A61&gt;$E$5,A61&lt;=$E$6),I60,0),IF(AND(A62&gt;$E$5,A62&lt;=$E$6),I61,0),IF(AND(A63&gt;$E$5,A63&lt;=$E$6),I62,0),IF(AND(A64&gt;$E$5,A64&lt;=$E$6),I63,0),IF(AND(A65&gt;$E$5,A65&lt;=$E$6),I64,0),IF(AND(A66&gt;$E$5,A66&lt;=$E$6),I65,0),IF(AND(A67&gt;$E$5,A67&lt;=$E$6),I66,0),IF(AND(A68&gt;$E$5,A68&lt;=$E$6),I67,0),IF(AND(A69&gt;$E$5,A69&lt;=$E$6),I68,0),IF(AND(A70&gt;$E$5,A70&lt;=$E$6),I69,0),IF(AND(A71&gt;$E$5,A71&lt;=$E$6),I70,0),IF(AND(A72&gt;$E$5,A72&lt;=$E$6),I71,0))+D82*E18</f>
        <v>684.8480285401461</v>
      </c>
      <c r="M11" s="1"/>
      <c r="N11" s="7"/>
    </row>
    <row r="12" spans="1:15" ht="15">
      <c r="A12" s="79" t="s">
        <v>51</v>
      </c>
      <c r="B12" s="79"/>
      <c r="C12" s="79"/>
      <c r="D12" s="79"/>
      <c r="E12" s="69">
        <v>3</v>
      </c>
      <c r="F12" s="23" t="s">
        <v>29</v>
      </c>
      <c r="G12" s="22"/>
      <c r="H12" s="99" t="s">
        <v>5</v>
      </c>
      <c r="I12" s="76"/>
      <c r="J12" s="76"/>
      <c r="K12" s="105"/>
      <c r="L12" s="42">
        <f>SUM(IF(AND(A46&gt;$E$5,A46&lt;=$E$6),K45,0),IF(AND(A47&gt;$E$5,A47&lt;=$E$6),K46,0),IF(AND(A48&gt;$E$5,A48&lt;=$E$6),K47,0),IF(AND(A49&gt;$E$5,A49&lt;=$E$6),K48,0),IF(AND(A50&gt;$E$5,A50&lt;=$E$6),K49,0),IF(AND(A51&gt;$E$5,A51&lt;=$E$6),K50,0),IF(AND(A52&gt;$E$5,A52&lt;=$E$6),K51,0),IF(AND(A53&gt;$E$5,A53&lt;=$E$6),K52,0),IF(AND(A54&gt;$E$5,A54&lt;=$E$6),K53,0),IF(AND(A55&gt;$E$5,A55&lt;=$E$6),K54,0),IF(AND(A56&gt;$E$5,A56&lt;=$E$6),K55,0),IF(AND(A57&gt;$E$5,A57&lt;=$E$6),K56,0),IF(AND(A58&gt;$E$5,A58&lt;=$E$6),K57,0),IF(AND(A59&gt;$E$5,A59&lt;=$E$6),K58,0),IF(AND(A60&gt;$E$5,A60&lt;=$E$6),K59,0),IF(AND(A61&gt;$E$5,A61&lt;=$E$6),K60,0),IF(AND(A62&gt;$E$5,A62&lt;=$E$6),K61,0),IF(AND(A63&gt;$E$5,A63&lt;=$E$6),K62,0),IF(AND(A64&gt;$E$5,A64&lt;=$E$6),K63,0),IF(AND(A65&gt;$E$5,A65&lt;=$E$6),K64,0),IF(AND(A66&gt;$E$5,A66&lt;=$E$6),K65,0),IF(AND(A67&gt;$E$5,A67&lt;=$E$6),K66,0),IF(AND(A68&gt;$E$5,A68&lt;=$E$6),K67,0),IF(AND(A69&gt;$E$5,A69&lt;=$E$6),K68,0),IF(AND(A70&gt;$E$5,A70&lt;=$E$6),K69,0),IF(AND(A71&gt;$E$5,A71&lt;=$E$6),K70,0),IF(AND(A72&gt;$E$5,A72&lt;=$E$6),K71,0))</f>
        <v>1755.5999999999995</v>
      </c>
      <c r="M12" s="1"/>
      <c r="N12" s="7"/>
      <c r="O12" s="7"/>
    </row>
    <row r="13" spans="1:14" ht="15">
      <c r="A13" s="76" t="s">
        <v>42</v>
      </c>
      <c r="B13" s="76"/>
      <c r="C13" s="76"/>
      <c r="D13" s="76"/>
      <c r="E13" s="70">
        <v>1</v>
      </c>
      <c r="F13" s="24" t="s">
        <v>29</v>
      </c>
      <c r="G13" s="22"/>
      <c r="H13" s="99" t="s">
        <v>58</v>
      </c>
      <c r="I13" s="76"/>
      <c r="J13" s="76"/>
      <c r="K13" s="100"/>
      <c r="L13" s="42">
        <f>SUM(IF(AND(A46&gt;$E$5,A46&lt;=$E$6),L44,0),IF(AND(A47&gt;$E$5,A47&lt;=$E$6),L45,0),IF(AND(A48&gt;$E$5,A48&lt;=$E$6),L46,0),IF(AND(A49&gt;$E$5,A49&lt;=$E$6),L47,0),IF(AND(A50&gt;$E$5,A50&lt;=$E$6),L48,0),IF(AND(A51&gt;$E$5,A51&lt;=$E$6),L49,0),IF(AND(A52&gt;$E$5,A52&lt;=$E$6),L50,0),IF(AND(A53&gt;$E$5,A53&lt;=$E$6),L51,0),IF(AND(A54&gt;$E$5,A54&lt;=$E$6),L52,0),IF(AND(A55&gt;$E$5,A55&lt;=$E$6),L53,0),IF(AND(A56&gt;$E$5,A56&lt;=$E$6),L54,0),IF(AND(A57&gt;$E$5,A57&lt;=$E$6),L55,0),IF(AND(A58&gt;$E$5,A58&lt;=$E$6),L56,0),IF(AND(A59&gt;$E$5,A59&lt;=$E$6),L57,0),IF(AND(A60&gt;$E$5,A60&lt;=$E$6),L58,0),IF(AND(A61&gt;$E$5,A61&lt;=$E$6),L59,0),IF(AND(A62&gt;$E$5,A62&lt;=$E$6),L60,0),IF(AND(A63&gt;$E$5,A63&lt;=$E$6),L61,0),IF(AND(A64&gt;$E$5,A64&lt;=$E$6),L62,0),IF(AND(A65&gt;$E$5,A65&lt;=$E$6),L63,0),IF(AND(A66&gt;$E$5,A66&lt;=$E$6),L64,0),IF(AND(A67&gt;$E$5,A67&lt;=$E$6),L65,0),IF(AND(A68&gt;$E$5,A68&lt;=$E$6),L66,0),IF(AND(A69&gt;$E$5,A69&lt;=$E$6),L67,0),IF(AND(A70&gt;$E$5,A70&lt;=$E$6),L68,0),IF(AND(A71&gt;$E$5,A71&lt;=$E$6),L69,0),IF(AND(A72&gt;$E$5,A72&lt;=$E$6),L70,0))</f>
        <v>1304.7013698630133</v>
      </c>
      <c r="M13" s="15"/>
      <c r="N13" s="7"/>
    </row>
    <row r="14" spans="1:15" ht="15">
      <c r="A14" s="76" t="s">
        <v>43</v>
      </c>
      <c r="B14" s="76"/>
      <c r="C14" s="76"/>
      <c r="D14" s="76"/>
      <c r="E14" s="70">
        <v>1.65</v>
      </c>
      <c r="F14" s="24" t="s">
        <v>29</v>
      </c>
      <c r="G14" s="38"/>
      <c r="H14" s="99" t="s">
        <v>14</v>
      </c>
      <c r="I14" s="76"/>
      <c r="J14" s="76"/>
      <c r="K14" s="100"/>
      <c r="L14" s="42">
        <f>E30</f>
        <v>100</v>
      </c>
      <c r="M14" s="1"/>
      <c r="N14" s="7"/>
      <c r="O14" s="1"/>
    </row>
    <row r="15" spans="1:15" ht="15">
      <c r="A15" s="76" t="s">
        <v>30</v>
      </c>
      <c r="B15" s="76"/>
      <c r="C15" s="76"/>
      <c r="D15" s="76"/>
      <c r="E15" s="71">
        <v>85</v>
      </c>
      <c r="F15" s="25" t="s">
        <v>31</v>
      </c>
      <c r="G15" s="22"/>
      <c r="H15" s="99" t="s">
        <v>18</v>
      </c>
      <c r="I15" s="76"/>
      <c r="J15" s="76"/>
      <c r="K15" s="100"/>
      <c r="L15" s="42">
        <f>E31</f>
        <v>350</v>
      </c>
      <c r="M15" s="1"/>
      <c r="N15" s="7"/>
      <c r="O15" s="1"/>
    </row>
    <row r="16" spans="1:14" ht="15.75" thickBot="1">
      <c r="A16" s="101" t="s">
        <v>41</v>
      </c>
      <c r="B16" s="101"/>
      <c r="C16" s="101"/>
      <c r="D16" s="101"/>
      <c r="E16" s="72">
        <v>95</v>
      </c>
      <c r="F16" s="28" t="s">
        <v>31</v>
      </c>
      <c r="H16" s="102" t="s">
        <v>49</v>
      </c>
      <c r="I16" s="103"/>
      <c r="J16" s="103"/>
      <c r="K16" s="103"/>
      <c r="L16" s="42">
        <f>E32</f>
        <v>0</v>
      </c>
      <c r="N16" s="7"/>
    </row>
    <row r="17" spans="1:15" ht="15.75" thickBot="1">
      <c r="A17" s="104"/>
      <c r="B17" s="104"/>
      <c r="C17" s="104"/>
      <c r="D17" s="104"/>
      <c r="E17" s="104"/>
      <c r="F17" s="104"/>
      <c r="H17" s="93" t="s">
        <v>56</v>
      </c>
      <c r="I17" s="94"/>
      <c r="J17" s="94"/>
      <c r="K17" s="95"/>
      <c r="L17" s="43">
        <f>E34</f>
        <v>0</v>
      </c>
      <c r="M17" s="13"/>
      <c r="N17" s="7"/>
      <c r="O17" s="13"/>
    </row>
    <row r="18" spans="1:14" ht="15.75" thickBot="1">
      <c r="A18" s="120" t="s">
        <v>20</v>
      </c>
      <c r="B18" s="121"/>
      <c r="C18" s="121"/>
      <c r="D18" s="121"/>
      <c r="E18" s="73">
        <v>0.3</v>
      </c>
      <c r="F18" s="32" t="s">
        <v>29</v>
      </c>
      <c r="G18" s="22"/>
      <c r="H18" s="96"/>
      <c r="I18" s="97"/>
      <c r="J18" s="97"/>
      <c r="K18" s="98"/>
      <c r="L18" s="44"/>
      <c r="N18" s="7"/>
    </row>
    <row r="19" spans="1:14" ht="15.75" thickBot="1">
      <c r="A19" s="92"/>
      <c r="B19" s="81"/>
      <c r="C19" s="81"/>
      <c r="D19" s="81"/>
      <c r="E19" s="81"/>
      <c r="F19" s="81"/>
      <c r="G19" s="16"/>
      <c r="H19" s="82" t="s">
        <v>52</v>
      </c>
      <c r="I19" s="83"/>
      <c r="J19" s="83"/>
      <c r="K19" s="84"/>
      <c r="L19" s="45">
        <f>SUM(L10:L17)</f>
        <v>7184.457208215629</v>
      </c>
      <c r="N19" s="7"/>
    </row>
    <row r="20" spans="1:14" ht="15.75" thickBot="1">
      <c r="A20" s="79" t="s">
        <v>34</v>
      </c>
      <c r="B20" s="79"/>
      <c r="C20" s="79"/>
      <c r="D20" s="79"/>
      <c r="E20" s="66">
        <v>165</v>
      </c>
      <c r="F20" s="23" t="s">
        <v>35</v>
      </c>
      <c r="G20" s="22"/>
      <c r="H20" s="85"/>
      <c r="I20" s="86"/>
      <c r="J20" s="86"/>
      <c r="K20" s="87"/>
      <c r="L20" s="37"/>
      <c r="N20" s="7"/>
    </row>
    <row r="21" spans="1:14" ht="15.75" thickBot="1">
      <c r="A21" s="76" t="s">
        <v>44</v>
      </c>
      <c r="B21" s="76"/>
      <c r="C21" s="76"/>
      <c r="D21" s="76"/>
      <c r="E21" s="67">
        <v>2</v>
      </c>
      <c r="F21" s="24" t="s">
        <v>45</v>
      </c>
      <c r="G21" s="22"/>
      <c r="H21" s="88" t="s">
        <v>21</v>
      </c>
      <c r="I21" s="89"/>
      <c r="J21" s="89"/>
      <c r="K21" s="90"/>
      <c r="L21" s="41">
        <f>L19/((E6-E5)*30.42)</f>
        <v>12.111561570855255</v>
      </c>
      <c r="N21" s="7"/>
    </row>
    <row r="22" spans="1:12" ht="15.75" thickBot="1">
      <c r="A22" s="77" t="s">
        <v>57</v>
      </c>
      <c r="B22" s="77"/>
      <c r="C22" s="77"/>
      <c r="D22" s="77"/>
      <c r="E22" s="72">
        <v>1</v>
      </c>
      <c r="F22" s="28" t="s">
        <v>46</v>
      </c>
      <c r="G22" s="22"/>
      <c r="L22" s="40"/>
    </row>
    <row r="23" spans="1:6" ht="15.75" thickBot="1">
      <c r="A23" s="19"/>
      <c r="B23" s="19"/>
      <c r="C23" s="19"/>
      <c r="D23" s="19"/>
      <c r="E23" s="34"/>
      <c r="F23" s="35"/>
    </row>
    <row r="24" spans="1:11" ht="15.75">
      <c r="A24" s="79" t="s">
        <v>36</v>
      </c>
      <c r="B24" s="79"/>
      <c r="C24" s="79"/>
      <c r="D24" s="79"/>
      <c r="E24" s="74">
        <v>2500</v>
      </c>
      <c r="F24" s="23" t="s">
        <v>38</v>
      </c>
      <c r="G24" s="22"/>
      <c r="H24" s="55" t="s">
        <v>61</v>
      </c>
      <c r="I24" s="31"/>
      <c r="J24" s="31"/>
      <c r="K24" s="56"/>
    </row>
    <row r="25" spans="1:11" ht="15">
      <c r="A25" s="76" t="s">
        <v>37</v>
      </c>
      <c r="B25" s="76"/>
      <c r="C25" s="76"/>
      <c r="D25" s="76"/>
      <c r="E25" s="67">
        <v>6500</v>
      </c>
      <c r="F25" s="24" t="s">
        <v>38</v>
      </c>
      <c r="G25" s="22"/>
      <c r="H25" s="22"/>
      <c r="I25" s="16"/>
      <c r="J25" s="16"/>
      <c r="K25" s="50"/>
    </row>
    <row r="26" spans="1:12" ht="15">
      <c r="A26" s="76" t="s">
        <v>39</v>
      </c>
      <c r="B26" s="76"/>
      <c r="C26" s="76"/>
      <c r="D26" s="76"/>
      <c r="E26" s="67">
        <v>8</v>
      </c>
      <c r="F26" s="24" t="s">
        <v>31</v>
      </c>
      <c r="G26" s="22"/>
      <c r="H26" s="22" t="s">
        <v>77</v>
      </c>
      <c r="I26" s="16"/>
      <c r="K26" s="50"/>
      <c r="L26" s="16"/>
    </row>
    <row r="27" spans="1:11" ht="15">
      <c r="A27" s="76" t="s">
        <v>3</v>
      </c>
      <c r="B27" s="76"/>
      <c r="C27" s="76"/>
      <c r="D27" s="76"/>
      <c r="E27" s="67">
        <v>3</v>
      </c>
      <c r="F27" s="24" t="s">
        <v>31</v>
      </c>
      <c r="G27" s="22"/>
      <c r="H27" s="22" t="s">
        <v>78</v>
      </c>
      <c r="I27" s="16"/>
      <c r="K27" s="50"/>
    </row>
    <row r="28" spans="1:11" ht="15.75" thickBot="1">
      <c r="A28" s="77" t="s">
        <v>40</v>
      </c>
      <c r="B28" s="77"/>
      <c r="C28" s="77"/>
      <c r="D28" s="77"/>
      <c r="E28" s="75">
        <v>2</v>
      </c>
      <c r="F28" s="26" t="s">
        <v>31</v>
      </c>
      <c r="G28" s="22"/>
      <c r="H28" s="22" t="s">
        <v>76</v>
      </c>
      <c r="I28" s="16"/>
      <c r="J28" s="57"/>
      <c r="K28" s="50"/>
    </row>
    <row r="29" spans="1:11" ht="15.75" thickBot="1">
      <c r="A29" s="19"/>
      <c r="B29" s="19"/>
      <c r="C29" s="19"/>
      <c r="D29" s="19"/>
      <c r="E29" s="34"/>
      <c r="F29" s="35"/>
      <c r="G29" s="16"/>
      <c r="H29" s="58"/>
      <c r="I29" s="16"/>
      <c r="J29" s="16"/>
      <c r="K29" s="59"/>
    </row>
    <row r="30" spans="1:10" ht="15">
      <c r="A30" s="79" t="s">
        <v>14</v>
      </c>
      <c r="B30" s="79"/>
      <c r="C30" s="79"/>
      <c r="D30" s="79"/>
      <c r="E30" s="74">
        <v>100</v>
      </c>
      <c r="F30" s="30" t="s">
        <v>47</v>
      </c>
      <c r="G30" s="22"/>
      <c r="I30" s="31"/>
      <c r="J30" s="31"/>
    </row>
    <row r="31" spans="1:11" ht="15">
      <c r="A31" s="80" t="s">
        <v>18</v>
      </c>
      <c r="B31" s="80"/>
      <c r="C31" s="80"/>
      <c r="D31" s="80"/>
      <c r="E31" s="75">
        <v>350</v>
      </c>
      <c r="F31" s="25" t="s">
        <v>47</v>
      </c>
      <c r="G31" s="22"/>
      <c r="K31" s="16"/>
    </row>
    <row r="32" spans="1:7" ht="15.75" thickBot="1">
      <c r="A32" s="76" t="s">
        <v>49</v>
      </c>
      <c r="B32" s="76"/>
      <c r="C32" s="76"/>
      <c r="D32" s="76"/>
      <c r="E32" s="67"/>
      <c r="F32" s="24" t="s">
        <v>47</v>
      </c>
      <c r="G32" s="22"/>
    </row>
    <row r="33" spans="1:7" ht="15.75" thickBot="1">
      <c r="A33" s="81"/>
      <c r="B33" s="81"/>
      <c r="C33" s="81"/>
      <c r="D33" s="81"/>
      <c r="E33" s="81"/>
      <c r="F33" s="81"/>
      <c r="G33" s="16"/>
    </row>
    <row r="34" spans="1:7" ht="15.75" thickBot="1">
      <c r="A34" s="77" t="s">
        <v>56</v>
      </c>
      <c r="B34" s="77"/>
      <c r="C34" s="77"/>
      <c r="D34" s="77"/>
      <c r="E34" s="72"/>
      <c r="F34" s="28" t="s">
        <v>47</v>
      </c>
      <c r="G34" s="36"/>
    </row>
    <row r="35" ht="12.75">
      <c r="G35" s="2"/>
    </row>
    <row r="36" ht="12.75" hidden="1">
      <c r="G36" s="2"/>
    </row>
    <row r="37" ht="12.75" hidden="1">
      <c r="G37" s="2"/>
    </row>
    <row r="38" spans="1:7" ht="15" hidden="1">
      <c r="A38" s="78" t="s">
        <v>48</v>
      </c>
      <c r="B38" s="78"/>
      <c r="C38" s="78"/>
      <c r="D38" s="78"/>
      <c r="E38" s="29">
        <f>E13*E15/100+E14*((100-E15)/100)</f>
        <v>1.0975</v>
      </c>
      <c r="F38" s="33"/>
      <c r="G38" s="2"/>
    </row>
    <row r="39" ht="12.75" hidden="1">
      <c r="G39" s="2"/>
    </row>
    <row r="40" spans="7:12" ht="12.75" hidden="1">
      <c r="G40" s="2"/>
      <c r="H40" s="14"/>
      <c r="L40" s="5" t="s">
        <v>12</v>
      </c>
    </row>
    <row r="41" spans="7:12" ht="12.75" hidden="1">
      <c r="G41" s="14" t="s">
        <v>15</v>
      </c>
      <c r="H41" s="2" t="s">
        <v>11</v>
      </c>
      <c r="I41" s="2" t="s">
        <v>10</v>
      </c>
      <c r="J41" s="2" t="s">
        <v>5</v>
      </c>
      <c r="K41" s="2" t="s">
        <v>5</v>
      </c>
      <c r="L41" s="10" t="s">
        <v>13</v>
      </c>
    </row>
    <row r="42" spans="1:12" ht="12.75" hidden="1">
      <c r="A42" s="2"/>
      <c r="B42" s="2" t="s">
        <v>6</v>
      </c>
      <c r="C42" s="2" t="s">
        <v>7</v>
      </c>
      <c r="D42" s="2"/>
      <c r="E42" s="2"/>
      <c r="G42" s="2" t="s">
        <v>75</v>
      </c>
      <c r="H42" s="9" t="s">
        <v>9</v>
      </c>
      <c r="I42" s="9" t="s">
        <v>9</v>
      </c>
      <c r="J42" s="9" t="s">
        <v>16</v>
      </c>
      <c r="K42" s="9" t="s">
        <v>17</v>
      </c>
      <c r="L42" s="3"/>
    </row>
    <row r="43" spans="1:12" ht="12.75" hidden="1">
      <c r="A43" s="9" t="s">
        <v>0</v>
      </c>
      <c r="B43" s="9" t="s">
        <v>2</v>
      </c>
      <c r="C43" s="9" t="s">
        <v>8</v>
      </c>
      <c r="D43" s="9" t="s">
        <v>53</v>
      </c>
      <c r="E43" s="9"/>
      <c r="F43" s="9" t="s">
        <v>4</v>
      </c>
      <c r="G43" s="9" t="s">
        <v>1</v>
      </c>
      <c r="L43" s="4">
        <f>($E$24*($E$26+$E$27+$E$28)/100)*30.4/365</f>
        <v>27.068493150684933</v>
      </c>
    </row>
    <row r="44" spans="1:12" ht="12.75" hidden="1">
      <c r="A44">
        <v>0</v>
      </c>
      <c r="C44" s="1">
        <v>43</v>
      </c>
      <c r="D44" s="1"/>
      <c r="E44" s="1"/>
      <c r="F44" s="1"/>
      <c r="H44" s="1">
        <f>G45*E12</f>
        <v>76.84040338168681</v>
      </c>
      <c r="J44" s="1">
        <f>$E$21*30.4/2</f>
        <v>30.4</v>
      </c>
      <c r="K44" s="1">
        <f>(J44/60)*$E$20</f>
        <v>83.6</v>
      </c>
      <c r="L44" s="4">
        <f>($E$24*($E$26+$E$27+$E$28)/100)*30.4/365</f>
        <v>27.068493150684933</v>
      </c>
    </row>
    <row r="45" spans="1:12" ht="12.75" hidden="1">
      <c r="A45">
        <v>0.5</v>
      </c>
      <c r="B45">
        <f>E9</f>
        <v>500</v>
      </c>
      <c r="C45" s="1">
        <f>C44+(30.4/2)*B45/1000</f>
        <v>50.6</v>
      </c>
      <c r="D45" s="17">
        <f>(C45+C44)/2</f>
        <v>46.8</v>
      </c>
      <c r="E45" s="1">
        <f>LN(D45)</f>
        <v>3.845883202923601</v>
      </c>
      <c r="F45" s="7">
        <f>(EXP(LN((B45+1738)/(3079-258*E45))/0.28))*1.25</f>
        <v>1.6048538717979701</v>
      </c>
      <c r="G45" s="1">
        <f>F45*(30.4/2)*1.05</f>
        <v>25.613467793895605</v>
      </c>
      <c r="H45" s="1">
        <f>G46*E12</f>
        <v>82.1710206278175</v>
      </c>
      <c r="J45" s="1">
        <f>$E$21*30.4/2</f>
        <v>30.4</v>
      </c>
      <c r="K45" s="1">
        <f>(J45/60)*$E$20</f>
        <v>83.6</v>
      </c>
      <c r="L45" s="4">
        <f>($E$24*($E$26+$E$27+$E$28)/100)*30.4/365</f>
        <v>27.068493150684933</v>
      </c>
    </row>
    <row r="46" spans="1:12" ht="12.75" hidden="1">
      <c r="A46">
        <v>1</v>
      </c>
      <c r="B46" s="1">
        <f>B45</f>
        <v>500</v>
      </c>
      <c r="C46" s="1">
        <f>C44+30.4*B46/1000</f>
        <v>58.2</v>
      </c>
      <c r="D46" s="17">
        <f aca="true" t="shared" si="0" ref="D46:D72">(C46+C45)/2</f>
        <v>54.400000000000006</v>
      </c>
      <c r="E46" s="1">
        <f aca="true" t="shared" si="1" ref="E46:E72">LN(D46)</f>
        <v>3.9963641538618973</v>
      </c>
      <c r="F46" s="7">
        <f aca="true" t="shared" si="2" ref="F46:F72">(EXP(LN((B46+1738)/(3079-258*E46))/0.28))*1.25</f>
        <v>1.7161867299042919</v>
      </c>
      <c r="G46" s="1">
        <f>F46*(30.4/2)*1.05</f>
        <v>27.390340209272498</v>
      </c>
      <c r="H46" s="1">
        <f>G47*E12</f>
        <v>87.19353413150971</v>
      </c>
      <c r="J46" s="1">
        <f>$E$21*30.4/2</f>
        <v>30.4</v>
      </c>
      <c r="K46" s="1">
        <f>(J46/60)*$E$20</f>
        <v>83.6</v>
      </c>
      <c r="L46" s="4">
        <f>($E$24*($E$26+$E$27+$E$28)/100)*30.4/365</f>
        <v>27.068493150684933</v>
      </c>
    </row>
    <row r="47" spans="1:12" ht="12.75" hidden="1">
      <c r="A47">
        <v>1.5</v>
      </c>
      <c r="B47" s="1">
        <f>B46</f>
        <v>500</v>
      </c>
      <c r="C47" s="1">
        <f>C46+(30.4/2)*B47/1000</f>
        <v>65.8</v>
      </c>
      <c r="D47" s="17">
        <f t="shared" si="0"/>
        <v>62</v>
      </c>
      <c r="E47" s="1">
        <f t="shared" si="1"/>
        <v>4.127134385045092</v>
      </c>
      <c r="F47" s="7">
        <f t="shared" si="2"/>
        <v>1.8210846727550065</v>
      </c>
      <c r="G47" s="1">
        <f>F47*(30.4/2)*1.05</f>
        <v>29.064511377169904</v>
      </c>
      <c r="H47" s="1">
        <f>G48*E12</f>
        <v>91.96634988978391</v>
      </c>
      <c r="J47" s="1">
        <f>$E$21*30.4/2</f>
        <v>30.4</v>
      </c>
      <c r="K47" s="1">
        <f aca="true" t="shared" si="3" ref="K47:K71">(J47/60)*$E$20</f>
        <v>83.6</v>
      </c>
      <c r="L47" s="4">
        <f>($E$24*($E$26+$E$27+$E$28)/100)*30.4/365</f>
        <v>27.068493150684933</v>
      </c>
    </row>
    <row r="48" spans="1:12" ht="12.75" hidden="1">
      <c r="A48" s="1">
        <v>2</v>
      </c>
      <c r="B48" s="1">
        <f>B47</f>
        <v>500</v>
      </c>
      <c r="C48" s="1">
        <f>C46+30.4*B48/1000</f>
        <v>73.4</v>
      </c>
      <c r="D48" s="17">
        <f t="shared" si="0"/>
        <v>69.6</v>
      </c>
      <c r="E48" s="1">
        <f t="shared" si="1"/>
        <v>4.242764567340374</v>
      </c>
      <c r="F48" s="7">
        <f t="shared" si="2"/>
        <v>1.9207675415577259</v>
      </c>
      <c r="G48" s="1">
        <f>F48*(30.4/2)*1.05</f>
        <v>30.655449963261304</v>
      </c>
      <c r="H48" s="1">
        <f>G49*E12</f>
        <v>222.5745340873252</v>
      </c>
      <c r="J48" s="1">
        <f>$E$21*30.4/2</f>
        <v>30.4</v>
      </c>
      <c r="K48" s="1">
        <f t="shared" si="3"/>
        <v>83.6</v>
      </c>
      <c r="L48" s="4">
        <f aca="true" t="shared" si="4" ref="L48:L70">($E$25*($E$26+$E$27+$E$28)/100)*30.4/365</f>
        <v>70.37808219178082</v>
      </c>
    </row>
    <row r="49" spans="1:12" ht="12.75" hidden="1">
      <c r="A49">
        <v>3</v>
      </c>
      <c r="B49" s="1">
        <f>E10</f>
        <v>572.0628415300546</v>
      </c>
      <c r="C49" s="1">
        <f>C48+30.4*B49/1000</f>
        <v>90.79071038251367</v>
      </c>
      <c r="D49" s="17">
        <f t="shared" si="0"/>
        <v>82.09535519125683</v>
      </c>
      <c r="E49" s="1">
        <f t="shared" si="1"/>
        <v>4.407881439842813</v>
      </c>
      <c r="F49" s="7">
        <f t="shared" si="2"/>
        <v>2.3242954687481747</v>
      </c>
      <c r="G49" s="1">
        <f>F49*30.4*1.05</f>
        <v>74.19151136244173</v>
      </c>
      <c r="H49" s="1">
        <f aca="true" t="shared" si="5" ref="H49:H71">G50*$E$38</f>
        <v>94.00391784182412</v>
      </c>
      <c r="I49" s="1">
        <f aca="true" t="shared" si="6" ref="I49:I71">G50*$E$18</f>
        <v>25.69583175630728</v>
      </c>
      <c r="J49" s="1">
        <f aca="true" t="shared" si="7" ref="J49:J71">$E$22*30.4</f>
        <v>30.4</v>
      </c>
      <c r="K49" s="1">
        <f>(J49/60)*$E$20</f>
        <v>83.6</v>
      </c>
      <c r="L49" s="4">
        <f t="shared" si="4"/>
        <v>70.37808219178082</v>
      </c>
    </row>
    <row r="50" spans="1:12" ht="12.75" hidden="1">
      <c r="A50">
        <v>4</v>
      </c>
      <c r="B50" s="1">
        <f aca="true" t="shared" si="8" ref="B50:B72">B49</f>
        <v>572.0628415300546</v>
      </c>
      <c r="C50" s="1">
        <f>C49+30.4*B50/1000</f>
        <v>108.18142076502733</v>
      </c>
      <c r="D50" s="17">
        <f t="shared" si="0"/>
        <v>99.4860655737705</v>
      </c>
      <c r="E50" s="1">
        <f t="shared" si="1"/>
        <v>4.600017589872684</v>
      </c>
      <c r="F50" s="7">
        <f t="shared" si="2"/>
        <v>2.549189658363817</v>
      </c>
      <c r="G50" s="1">
        <f aca="true" t="shared" si="9" ref="G50:G72">(F50*30.4*1.05)*100/$E$16</f>
        <v>85.65277252102426</v>
      </c>
      <c r="H50" s="1">
        <f t="shared" si="5"/>
        <v>101.7645567161361</v>
      </c>
      <c r="I50" s="1">
        <f t="shared" si="6"/>
        <v>27.817190901905086</v>
      </c>
      <c r="J50" s="1">
        <f t="shared" si="7"/>
        <v>30.4</v>
      </c>
      <c r="K50" s="1">
        <f t="shared" si="3"/>
        <v>83.6</v>
      </c>
      <c r="L50" s="4">
        <f t="shared" si="4"/>
        <v>70.37808219178082</v>
      </c>
    </row>
    <row r="51" spans="1:12" ht="12.75" hidden="1">
      <c r="A51">
        <v>5</v>
      </c>
      <c r="B51" s="1">
        <f t="shared" si="8"/>
        <v>572.0628415300546</v>
      </c>
      <c r="C51" s="1">
        <f aca="true" t="shared" si="10" ref="C51:C72">C50+30.4*B51/1000</f>
        <v>125.57213114754099</v>
      </c>
      <c r="D51" s="17">
        <f t="shared" si="0"/>
        <v>116.87677595628415</v>
      </c>
      <c r="E51" s="1">
        <f t="shared" si="1"/>
        <v>4.761120182841289</v>
      </c>
      <c r="F51" s="7">
        <f t="shared" si="2"/>
        <v>2.7596419545540756</v>
      </c>
      <c r="G51" s="1">
        <f t="shared" si="9"/>
        <v>92.72396967301695</v>
      </c>
      <c r="H51" s="1">
        <f t="shared" si="5"/>
        <v>109.11517483360261</v>
      </c>
      <c r="I51" s="1">
        <f t="shared" si="6"/>
        <v>29.82647148071142</v>
      </c>
      <c r="J51" s="1">
        <f t="shared" si="7"/>
        <v>30.4</v>
      </c>
      <c r="K51" s="1">
        <f t="shared" si="3"/>
        <v>83.6</v>
      </c>
      <c r="L51" s="4">
        <f t="shared" si="4"/>
        <v>70.37808219178082</v>
      </c>
    </row>
    <row r="52" spans="1:12" ht="12.75" hidden="1">
      <c r="A52">
        <v>6</v>
      </c>
      <c r="B52" s="1">
        <f t="shared" si="8"/>
        <v>572.0628415300546</v>
      </c>
      <c r="C52" s="1">
        <f t="shared" si="10"/>
        <v>142.96284153005465</v>
      </c>
      <c r="D52" s="17">
        <f t="shared" si="0"/>
        <v>134.26748633879782</v>
      </c>
      <c r="E52" s="1">
        <f t="shared" si="1"/>
        <v>4.899833976964995</v>
      </c>
      <c r="F52" s="7">
        <f t="shared" si="2"/>
        <v>2.9589753453086725</v>
      </c>
      <c r="G52" s="1">
        <f t="shared" si="9"/>
        <v>99.4215716023714</v>
      </c>
      <c r="H52" s="1">
        <f t="shared" si="5"/>
        <v>116.13847897364752</v>
      </c>
      <c r="I52" s="1">
        <f t="shared" si="6"/>
        <v>31.74628126842301</v>
      </c>
      <c r="J52" s="1">
        <f t="shared" si="7"/>
        <v>30.4</v>
      </c>
      <c r="K52" s="1">
        <f t="shared" si="3"/>
        <v>83.6</v>
      </c>
      <c r="L52" s="4">
        <f t="shared" si="4"/>
        <v>70.37808219178082</v>
      </c>
    </row>
    <row r="53" spans="1:12" ht="12.75" hidden="1">
      <c r="A53">
        <v>7</v>
      </c>
      <c r="B53" s="1">
        <f t="shared" si="8"/>
        <v>572.0628415300546</v>
      </c>
      <c r="C53" s="1">
        <f t="shared" si="10"/>
        <v>160.3535519125683</v>
      </c>
      <c r="D53" s="17">
        <f t="shared" si="0"/>
        <v>151.65819672131147</v>
      </c>
      <c r="E53" s="1">
        <f t="shared" si="1"/>
        <v>5.021629282929855</v>
      </c>
      <c r="F53" s="7">
        <f t="shared" si="2"/>
        <v>3.149432665518156</v>
      </c>
      <c r="G53" s="1">
        <f t="shared" si="9"/>
        <v>105.82093756141005</v>
      </c>
      <c r="H53" s="1">
        <f t="shared" si="5"/>
        <v>122.8933322354453</v>
      </c>
      <c r="I53" s="1">
        <f t="shared" si="6"/>
        <v>33.592710406044276</v>
      </c>
      <c r="J53" s="1">
        <f t="shared" si="7"/>
        <v>30.4</v>
      </c>
      <c r="K53" s="1">
        <f t="shared" si="3"/>
        <v>83.6</v>
      </c>
      <c r="L53" s="4">
        <f t="shared" si="4"/>
        <v>70.37808219178082</v>
      </c>
    </row>
    <row r="54" spans="1:12" ht="12.75" hidden="1">
      <c r="A54">
        <v>8</v>
      </c>
      <c r="B54" s="1">
        <f t="shared" si="8"/>
        <v>572.0628415300546</v>
      </c>
      <c r="C54" s="1">
        <f t="shared" si="10"/>
        <v>177.74426229508194</v>
      </c>
      <c r="D54" s="17">
        <f t="shared" si="0"/>
        <v>169.04890710382512</v>
      </c>
      <c r="E54" s="1">
        <f t="shared" si="1"/>
        <v>5.130188064204426</v>
      </c>
      <c r="F54" s="7">
        <f t="shared" si="2"/>
        <v>3.332610159329789</v>
      </c>
      <c r="G54" s="1">
        <f t="shared" si="9"/>
        <v>111.97570135348091</v>
      </c>
      <c r="H54" s="1">
        <f t="shared" si="5"/>
        <v>129.42334854491486</v>
      </c>
      <c r="I54" s="1">
        <f t="shared" si="6"/>
        <v>35.377680695648706</v>
      </c>
      <c r="J54" s="1">
        <f t="shared" si="7"/>
        <v>30.4</v>
      </c>
      <c r="K54" s="1">
        <f t="shared" si="3"/>
        <v>83.6</v>
      </c>
      <c r="L54" s="4">
        <f t="shared" si="4"/>
        <v>70.37808219178082</v>
      </c>
    </row>
    <row r="55" spans="1:12" ht="12.75" hidden="1">
      <c r="A55">
        <v>9</v>
      </c>
      <c r="B55" s="1">
        <f t="shared" si="8"/>
        <v>572.0628415300546</v>
      </c>
      <c r="C55" s="1">
        <f t="shared" si="10"/>
        <v>195.13497267759558</v>
      </c>
      <c r="D55" s="17">
        <f t="shared" si="0"/>
        <v>186.43961748633876</v>
      </c>
      <c r="E55" s="1">
        <f t="shared" si="1"/>
        <v>5.228107419830792</v>
      </c>
      <c r="F55" s="7">
        <f t="shared" si="2"/>
        <v>3.5096905452032443</v>
      </c>
      <c r="G55" s="1">
        <f t="shared" si="9"/>
        <v>117.92560231882904</v>
      </c>
      <c r="H55" s="1">
        <f t="shared" si="5"/>
        <v>135.7618815360042</v>
      </c>
      <c r="I55" s="1">
        <f t="shared" si="6"/>
        <v>37.11030930369136</v>
      </c>
      <c r="J55" s="1">
        <f t="shared" si="7"/>
        <v>30.4</v>
      </c>
      <c r="K55" s="1">
        <f t="shared" si="3"/>
        <v>83.6</v>
      </c>
      <c r="L55" s="4">
        <f t="shared" si="4"/>
        <v>70.37808219178082</v>
      </c>
    </row>
    <row r="56" spans="1:12" ht="12.75" hidden="1">
      <c r="A56">
        <v>10</v>
      </c>
      <c r="B56" s="1">
        <f t="shared" si="8"/>
        <v>572.0628415300546</v>
      </c>
      <c r="C56" s="1">
        <f t="shared" si="10"/>
        <v>212.52568306010923</v>
      </c>
      <c r="D56" s="17">
        <f t="shared" si="0"/>
        <v>203.8303278688524</v>
      </c>
      <c r="E56" s="1">
        <f t="shared" si="1"/>
        <v>5.317287921635053</v>
      </c>
      <c r="F56" s="7">
        <f t="shared" si="2"/>
        <v>3.681578303937635</v>
      </c>
      <c r="G56" s="1">
        <f t="shared" si="9"/>
        <v>123.70103101230454</v>
      </c>
      <c r="H56" s="1">
        <f t="shared" si="5"/>
        <v>141.9350978383025</v>
      </c>
      <c r="I56" s="1">
        <f t="shared" si="6"/>
        <v>38.79774883962711</v>
      </c>
      <c r="J56" s="1">
        <f t="shared" si="7"/>
        <v>30.4</v>
      </c>
      <c r="K56" s="1">
        <f t="shared" si="3"/>
        <v>83.6</v>
      </c>
      <c r="L56" s="4">
        <f t="shared" si="4"/>
        <v>70.37808219178082</v>
      </c>
    </row>
    <row r="57" spans="1:12" ht="12.75" hidden="1">
      <c r="A57">
        <v>11</v>
      </c>
      <c r="B57" s="1">
        <f t="shared" si="8"/>
        <v>572.0628415300546</v>
      </c>
      <c r="C57" s="1">
        <f t="shared" si="10"/>
        <v>229.91639344262288</v>
      </c>
      <c r="D57" s="17">
        <f t="shared" si="0"/>
        <v>221.22103825136605</v>
      </c>
      <c r="E57" s="1">
        <f t="shared" si="1"/>
        <v>5.399162374761016</v>
      </c>
      <c r="F57" s="7">
        <f t="shared" si="2"/>
        <v>3.848983019804277</v>
      </c>
      <c r="G57" s="1">
        <f t="shared" si="9"/>
        <v>129.3258294654237</v>
      </c>
      <c r="H57" s="1">
        <f t="shared" si="5"/>
        <v>147.96396237156486</v>
      </c>
      <c r="I57" s="1">
        <f t="shared" si="6"/>
        <v>40.44573003322957</v>
      </c>
      <c r="J57" s="1">
        <f t="shared" si="7"/>
        <v>30.4</v>
      </c>
      <c r="K57" s="1">
        <f t="shared" si="3"/>
        <v>83.6</v>
      </c>
      <c r="L57" s="4">
        <f t="shared" si="4"/>
        <v>70.37808219178082</v>
      </c>
    </row>
    <row r="58" spans="1:12" ht="12.75" hidden="1">
      <c r="A58">
        <v>12</v>
      </c>
      <c r="B58" s="1">
        <f t="shared" si="8"/>
        <v>572.0628415300546</v>
      </c>
      <c r="C58" s="1">
        <f t="shared" si="10"/>
        <v>247.30710382513652</v>
      </c>
      <c r="D58" s="17">
        <f t="shared" si="0"/>
        <v>238.6117486338797</v>
      </c>
      <c r="E58" s="1">
        <f t="shared" si="1"/>
        <v>5.474837748325335</v>
      </c>
      <c r="F58" s="7">
        <f t="shared" si="2"/>
        <v>4.012473217582299</v>
      </c>
      <c r="G58" s="1">
        <f t="shared" si="9"/>
        <v>134.81910011076525</v>
      </c>
      <c r="H58" s="1">
        <f t="shared" si="5"/>
        <v>153.86557162615992</v>
      </c>
      <c r="I58" s="1">
        <f t="shared" si="6"/>
        <v>42.058926184827314</v>
      </c>
      <c r="J58" s="1">
        <f t="shared" si="7"/>
        <v>30.4</v>
      </c>
      <c r="K58" s="1">
        <f t="shared" si="3"/>
        <v>83.6</v>
      </c>
      <c r="L58" s="4">
        <f t="shared" si="4"/>
        <v>70.37808219178082</v>
      </c>
    </row>
    <row r="59" spans="1:12" ht="12.75" hidden="1">
      <c r="A59">
        <v>13</v>
      </c>
      <c r="B59" s="1">
        <f t="shared" si="8"/>
        <v>572.0628415300546</v>
      </c>
      <c r="C59" s="1">
        <f t="shared" si="10"/>
        <v>264.6978142076502</v>
      </c>
      <c r="D59" s="17">
        <f t="shared" si="0"/>
        <v>256.00245901639335</v>
      </c>
      <c r="E59" s="1">
        <f t="shared" si="1"/>
        <v>5.545187049966216</v>
      </c>
      <c r="F59" s="7">
        <f t="shared" si="2"/>
        <v>4.172512518336044</v>
      </c>
      <c r="G59" s="1">
        <f t="shared" si="9"/>
        <v>140.19642061609105</v>
      </c>
      <c r="H59" s="1">
        <f t="shared" si="5"/>
        <v>159.65407856450796</v>
      </c>
      <c r="I59" s="1">
        <f t="shared" si="6"/>
        <v>43.641205985742495</v>
      </c>
      <c r="J59" s="1">
        <f t="shared" si="7"/>
        <v>30.4</v>
      </c>
      <c r="K59" s="1">
        <f t="shared" si="3"/>
        <v>83.6</v>
      </c>
      <c r="L59" s="4">
        <f t="shared" si="4"/>
        <v>70.37808219178082</v>
      </c>
    </row>
    <row r="60" spans="1:12" ht="12.75" hidden="1">
      <c r="A60">
        <v>14</v>
      </c>
      <c r="B60" s="1">
        <f t="shared" si="8"/>
        <v>572.0628415300546</v>
      </c>
      <c r="C60" s="1">
        <f t="shared" si="10"/>
        <v>282.08852459016384</v>
      </c>
      <c r="D60" s="17">
        <f t="shared" si="0"/>
        <v>273.39316939890705</v>
      </c>
      <c r="E60" s="1">
        <f t="shared" si="1"/>
        <v>5.6109109400673844</v>
      </c>
      <c r="F60" s="7">
        <f t="shared" si="2"/>
        <v>4.329484720807787</v>
      </c>
      <c r="G60" s="1">
        <f t="shared" si="9"/>
        <v>145.47068661914165</v>
      </c>
      <c r="H60" s="1">
        <f t="shared" si="5"/>
        <v>165.34135209782684</v>
      </c>
      <c r="I60" s="1">
        <f t="shared" si="6"/>
        <v>45.195813785282965</v>
      </c>
      <c r="J60" s="1">
        <f t="shared" si="7"/>
        <v>30.4</v>
      </c>
      <c r="K60" s="1">
        <f t="shared" si="3"/>
        <v>83.6</v>
      </c>
      <c r="L60" s="4">
        <f t="shared" si="4"/>
        <v>70.37808219178082</v>
      </c>
    </row>
    <row r="61" spans="1:12" ht="12.75" hidden="1">
      <c r="A61">
        <v>15</v>
      </c>
      <c r="B61" s="1">
        <f t="shared" si="8"/>
        <v>572.0628415300546</v>
      </c>
      <c r="C61" s="1">
        <f t="shared" si="10"/>
        <v>299.4792349726775</v>
      </c>
      <c r="D61" s="17">
        <f t="shared" si="0"/>
        <v>290.78387978142064</v>
      </c>
      <c r="E61" s="1">
        <f t="shared" si="1"/>
        <v>5.67258031008371</v>
      </c>
      <c r="F61" s="7">
        <f t="shared" si="2"/>
        <v>4.483711685047914</v>
      </c>
      <c r="G61" s="1">
        <f t="shared" si="9"/>
        <v>150.6527126176099</v>
      </c>
      <c r="H61" s="1">
        <f t="shared" si="5"/>
        <v>170.93745853209376</v>
      </c>
      <c r="I61" s="1">
        <f t="shared" si="6"/>
        <v>46.72550119328303</v>
      </c>
      <c r="J61" s="1">
        <f t="shared" si="7"/>
        <v>30.4</v>
      </c>
      <c r="K61" s="1">
        <f t="shared" si="3"/>
        <v>83.6</v>
      </c>
      <c r="L61" s="4">
        <f t="shared" si="4"/>
        <v>70.37808219178082</v>
      </c>
    </row>
    <row r="62" spans="1:12" ht="12.75" hidden="1">
      <c r="A62">
        <v>16</v>
      </c>
      <c r="B62" s="1">
        <f t="shared" si="8"/>
        <v>572.0628415300546</v>
      </c>
      <c r="C62" s="1">
        <f t="shared" si="10"/>
        <v>316.86994535519113</v>
      </c>
      <c r="D62" s="17">
        <f t="shared" si="0"/>
        <v>308.17459016393434</v>
      </c>
      <c r="E62" s="1">
        <f t="shared" si="1"/>
        <v>5.730666473555736</v>
      </c>
      <c r="F62" s="7">
        <f t="shared" si="2"/>
        <v>4.6354663882225235</v>
      </c>
      <c r="G62" s="1">
        <f t="shared" si="9"/>
        <v>155.75167064427677</v>
      </c>
      <c r="H62" s="1">
        <f t="shared" si="5"/>
        <v>176.45102031682487</v>
      </c>
      <c r="I62" s="1">
        <f t="shared" si="6"/>
        <v>48.23262514355122</v>
      </c>
      <c r="J62" s="1">
        <f t="shared" si="7"/>
        <v>30.4</v>
      </c>
      <c r="K62" s="1">
        <f t="shared" si="3"/>
        <v>83.6</v>
      </c>
      <c r="L62" s="4">
        <f t="shared" si="4"/>
        <v>70.37808219178082</v>
      </c>
    </row>
    <row r="63" spans="1:15" ht="12.75" hidden="1">
      <c r="A63">
        <v>17</v>
      </c>
      <c r="B63" s="1">
        <f t="shared" si="8"/>
        <v>572.0628415300546</v>
      </c>
      <c r="C63" s="1">
        <f t="shared" si="10"/>
        <v>334.2606557377048</v>
      </c>
      <c r="D63" s="17">
        <f t="shared" si="0"/>
        <v>325.56530054644793</v>
      </c>
      <c r="E63" s="1">
        <f t="shared" si="1"/>
        <v>5.785563057646021</v>
      </c>
      <c r="F63" s="7">
        <f t="shared" si="2"/>
        <v>4.784982653130082</v>
      </c>
      <c r="G63" s="1">
        <f t="shared" si="9"/>
        <v>160.77541714517074</v>
      </c>
      <c r="H63" s="1">
        <f t="shared" si="5"/>
        <v>181.88948820926893</v>
      </c>
      <c r="I63" s="1">
        <f t="shared" si="6"/>
        <v>49.7192222895496</v>
      </c>
      <c r="J63" s="1">
        <f t="shared" si="7"/>
        <v>30.4</v>
      </c>
      <c r="K63" s="1">
        <f t="shared" si="3"/>
        <v>83.6</v>
      </c>
      <c r="L63" s="4">
        <f t="shared" si="4"/>
        <v>70.37808219178082</v>
      </c>
      <c r="N63" s="7"/>
      <c r="O63" s="1"/>
    </row>
    <row r="64" spans="1:12" ht="12.75" hidden="1">
      <c r="A64">
        <v>18</v>
      </c>
      <c r="B64" s="1">
        <f t="shared" si="8"/>
        <v>572.0628415300546</v>
      </c>
      <c r="C64" s="1">
        <f t="shared" si="10"/>
        <v>351.6513661202184</v>
      </c>
      <c r="D64" s="17">
        <f t="shared" si="0"/>
        <v>342.95601092896163</v>
      </c>
      <c r="E64" s="1">
        <f t="shared" si="1"/>
        <v>5.837602190920939</v>
      </c>
      <c r="F64" s="7">
        <f t="shared" si="2"/>
        <v>4.932462528725158</v>
      </c>
      <c r="G64" s="1">
        <f t="shared" si="9"/>
        <v>165.73074096516532</v>
      </c>
      <c r="H64" s="1">
        <f t="shared" si="5"/>
        <v>187.25935105464296</v>
      </c>
      <c r="I64" s="1">
        <f t="shared" si="6"/>
        <v>51.18706634751061</v>
      </c>
      <c r="J64" s="1">
        <f t="shared" si="7"/>
        <v>30.4</v>
      </c>
      <c r="K64" s="1">
        <f t="shared" si="3"/>
        <v>83.6</v>
      </c>
      <c r="L64" s="4">
        <f t="shared" si="4"/>
        <v>70.37808219178082</v>
      </c>
    </row>
    <row r="65" spans="1:12" ht="12.75" hidden="1">
      <c r="A65">
        <v>19</v>
      </c>
      <c r="B65" s="1">
        <f t="shared" si="8"/>
        <v>572.0628415300546</v>
      </c>
      <c r="C65" s="1">
        <f t="shared" si="10"/>
        <v>369.0420765027321</v>
      </c>
      <c r="D65" s="17">
        <f t="shared" si="0"/>
        <v>360.3467213114752</v>
      </c>
      <c r="E65" s="1">
        <f t="shared" si="1"/>
        <v>5.887066682706815</v>
      </c>
      <c r="F65" s="7">
        <f t="shared" si="2"/>
        <v>5.078081978919704</v>
      </c>
      <c r="G65" s="1">
        <f t="shared" si="9"/>
        <v>170.62355449170204</v>
      </c>
      <c r="H65" s="1">
        <f t="shared" si="5"/>
        <v>192.56629978326706</v>
      </c>
      <c r="I65" s="1">
        <f t="shared" si="6"/>
        <v>52.63771292481105</v>
      </c>
      <c r="J65" s="1">
        <f t="shared" si="7"/>
        <v>30.4</v>
      </c>
      <c r="K65" s="1">
        <f t="shared" si="3"/>
        <v>83.6</v>
      </c>
      <c r="L65" s="4">
        <f t="shared" si="4"/>
        <v>70.37808219178082</v>
      </c>
    </row>
    <row r="66" spans="1:12" ht="12.75" hidden="1">
      <c r="A66">
        <v>20</v>
      </c>
      <c r="B66" s="1">
        <f t="shared" si="8"/>
        <v>572.0628415300546</v>
      </c>
      <c r="C66" s="1">
        <f t="shared" si="10"/>
        <v>386.4327868852457</v>
      </c>
      <c r="D66" s="17">
        <f t="shared" si="0"/>
        <v>377.7374316939889</v>
      </c>
      <c r="E66" s="1">
        <f t="shared" si="1"/>
        <v>5.934199329107584</v>
      </c>
      <c r="F66" s="7">
        <f t="shared" si="2"/>
        <v>5.221995329842365</v>
      </c>
      <c r="G66" s="1">
        <f t="shared" si="9"/>
        <v>175.4590430827035</v>
      </c>
      <c r="H66" s="1">
        <f t="shared" si="5"/>
        <v>197.81535725081008</v>
      </c>
      <c r="I66" s="1">
        <f t="shared" si="6"/>
        <v>54.07253501161096</v>
      </c>
      <c r="J66" s="1">
        <f t="shared" si="7"/>
        <v>30.4</v>
      </c>
      <c r="K66" s="1">
        <f t="shared" si="3"/>
        <v>83.6</v>
      </c>
      <c r="L66" s="4">
        <f t="shared" si="4"/>
        <v>70.37808219178082</v>
      </c>
    </row>
    <row r="67" spans="1:12" ht="12.75" hidden="1">
      <c r="A67">
        <v>21</v>
      </c>
      <c r="B67" s="1">
        <f t="shared" si="8"/>
        <v>572.0628415300546</v>
      </c>
      <c r="C67" s="1">
        <f t="shared" si="10"/>
        <v>403.82349726775936</v>
      </c>
      <c r="D67" s="17">
        <f t="shared" si="0"/>
        <v>395.1281420765025</v>
      </c>
      <c r="E67" s="1">
        <f t="shared" si="1"/>
        <v>5.979210122611732</v>
      </c>
      <c r="F67" s="7">
        <f t="shared" si="2"/>
        <v>5.36433879083442</v>
      </c>
      <c r="G67" s="1">
        <f t="shared" si="9"/>
        <v>180.24178337203654</v>
      </c>
      <c r="H67" s="1">
        <f t="shared" si="5"/>
        <v>203.01098221635377</v>
      </c>
      <c r="I67" s="1">
        <f t="shared" si="6"/>
        <v>55.49275140310354</v>
      </c>
      <c r="J67" s="1">
        <f t="shared" si="7"/>
        <v>30.4</v>
      </c>
      <c r="K67" s="1">
        <f t="shared" si="3"/>
        <v>83.6</v>
      </c>
      <c r="L67" s="4">
        <f t="shared" si="4"/>
        <v>70.37808219178082</v>
      </c>
    </row>
    <row r="68" spans="1:12" ht="12.75" hidden="1">
      <c r="A68">
        <v>22</v>
      </c>
      <c r="B68" s="1">
        <f t="shared" si="8"/>
        <v>572.0628415300546</v>
      </c>
      <c r="C68" s="1">
        <f t="shared" si="10"/>
        <v>421.214207650273</v>
      </c>
      <c r="D68" s="17">
        <f t="shared" si="0"/>
        <v>412.5188524590162</v>
      </c>
      <c r="E68" s="1">
        <f t="shared" si="1"/>
        <v>6.022281907661337</v>
      </c>
      <c r="F68" s="7">
        <f t="shared" si="2"/>
        <v>5.5052332741174155</v>
      </c>
      <c r="G68" s="1">
        <f t="shared" si="9"/>
        <v>184.97583801034514</v>
      </c>
      <c r="H68" s="1">
        <f t="shared" si="5"/>
        <v>208.1571534757125</v>
      </c>
      <c r="I68" s="1">
        <f t="shared" si="6"/>
        <v>56.89944969723349</v>
      </c>
      <c r="J68" s="1">
        <f t="shared" si="7"/>
        <v>30.4</v>
      </c>
      <c r="K68" s="1">
        <f t="shared" si="3"/>
        <v>83.6</v>
      </c>
      <c r="L68" s="4">
        <f t="shared" si="4"/>
        <v>70.37808219178082</v>
      </c>
    </row>
    <row r="69" spans="1:12" ht="12.75" hidden="1">
      <c r="A69">
        <v>23</v>
      </c>
      <c r="B69" s="1">
        <f t="shared" si="8"/>
        <v>572.0628415300546</v>
      </c>
      <c r="C69" s="1">
        <f t="shared" si="10"/>
        <v>438.60491803278666</v>
      </c>
      <c r="D69" s="17">
        <f t="shared" si="0"/>
        <v>429.9095628415298</v>
      </c>
      <c r="E69" s="1">
        <f t="shared" si="1"/>
        <v>6.063574867594284</v>
      </c>
      <c r="F69" s="7">
        <f t="shared" si="2"/>
        <v>5.644786676312847</v>
      </c>
      <c r="G69" s="1">
        <f t="shared" si="9"/>
        <v>189.66483232411164</v>
      </c>
      <c r="H69" s="1">
        <f t="shared" si="5"/>
        <v>213.2574385818355</v>
      </c>
      <c r="I69" s="1">
        <f t="shared" si="6"/>
        <v>58.29360507931722</v>
      </c>
      <c r="J69" s="1">
        <f t="shared" si="7"/>
        <v>30.4</v>
      </c>
      <c r="K69" s="1">
        <f t="shared" si="3"/>
        <v>83.6</v>
      </c>
      <c r="L69" s="4">
        <f t="shared" si="4"/>
        <v>70.37808219178082</v>
      </c>
    </row>
    <row r="70" spans="1:12" ht="12.75" hidden="1">
      <c r="A70">
        <v>24</v>
      </c>
      <c r="B70" s="1">
        <f t="shared" si="8"/>
        <v>572.0628415300546</v>
      </c>
      <c r="C70" s="1">
        <f t="shared" si="10"/>
        <v>455.9956284153003</v>
      </c>
      <c r="D70" s="17">
        <f t="shared" si="0"/>
        <v>447.3002732240435</v>
      </c>
      <c r="E70" s="1">
        <f t="shared" si="1"/>
        <v>6.103230121268134</v>
      </c>
      <c r="F70" s="7">
        <f t="shared" si="2"/>
        <v>5.783095741995755</v>
      </c>
      <c r="G70" s="1">
        <f t="shared" si="9"/>
        <v>194.3120169310574</v>
      </c>
      <c r="H70" s="1">
        <f t="shared" si="5"/>
        <v>218.31505046144542</v>
      </c>
      <c r="I70" s="1">
        <f t="shared" si="6"/>
        <v>59.6760957981172</v>
      </c>
      <c r="J70" s="1">
        <f t="shared" si="7"/>
        <v>30.4</v>
      </c>
      <c r="K70" s="1">
        <f t="shared" si="3"/>
        <v>83.6</v>
      </c>
      <c r="L70" s="65">
        <f t="shared" si="4"/>
        <v>70.37808219178082</v>
      </c>
    </row>
    <row r="71" spans="1:11" ht="12.75" hidden="1">
      <c r="A71">
        <v>25</v>
      </c>
      <c r="B71" s="1">
        <f t="shared" si="8"/>
        <v>572.0628415300546</v>
      </c>
      <c r="C71" s="1">
        <f t="shared" si="10"/>
        <v>473.38633879781395</v>
      </c>
      <c r="D71" s="17">
        <f t="shared" si="0"/>
        <v>464.6909836065571</v>
      </c>
      <c r="E71" s="1">
        <f t="shared" si="1"/>
        <v>6.141372633291461</v>
      </c>
      <c r="F71" s="7">
        <f t="shared" si="2"/>
        <v>5.9202475990195635</v>
      </c>
      <c r="G71" s="1">
        <f t="shared" si="9"/>
        <v>198.92031932705734</v>
      </c>
      <c r="H71" s="8">
        <f t="shared" si="5"/>
        <v>223.33289442998367</v>
      </c>
      <c r="I71" s="8">
        <f t="shared" si="6"/>
        <v>61.04771601730761</v>
      </c>
      <c r="J71" s="8">
        <f t="shared" si="7"/>
        <v>30.4</v>
      </c>
      <c r="K71" s="8">
        <f t="shared" si="3"/>
        <v>83.6</v>
      </c>
    </row>
    <row r="72" spans="1:12" ht="12.75" hidden="1">
      <c r="A72" s="6">
        <v>26</v>
      </c>
      <c r="B72" s="8">
        <f t="shared" si="8"/>
        <v>572.0628415300546</v>
      </c>
      <c r="C72" s="8">
        <f t="shared" si="10"/>
        <v>490.7770491803276</v>
      </c>
      <c r="D72" s="64">
        <f t="shared" si="0"/>
        <v>482.0816939890708</v>
      </c>
      <c r="E72" s="8">
        <f t="shared" si="1"/>
        <v>6.1781135892927415</v>
      </c>
      <c r="F72" s="11">
        <f t="shared" si="2"/>
        <v>6.056321033463057</v>
      </c>
      <c r="G72" s="8">
        <f t="shared" si="9"/>
        <v>203.4923867243587</v>
      </c>
      <c r="H72" s="15"/>
      <c r="L72" s="7"/>
    </row>
    <row r="73" ht="12.75" hidden="1">
      <c r="G73" s="7"/>
    </row>
    <row r="74" ht="12.75" hidden="1">
      <c r="H74" s="1"/>
    </row>
    <row r="75" ht="12.75" hidden="1"/>
    <row r="76" ht="12.75" hidden="1">
      <c r="A76" t="s">
        <v>64</v>
      </c>
    </row>
    <row r="77" ht="12.75" hidden="1">
      <c r="D77" t="s">
        <v>69</v>
      </c>
    </row>
    <row r="78" spans="3:4" ht="12.75" hidden="1">
      <c r="C78">
        <v>0</v>
      </c>
      <c r="D78">
        <f>E7-E6</f>
        <v>2</v>
      </c>
    </row>
    <row r="79" spans="1:3" ht="12.75" hidden="1">
      <c r="A79" s="1" t="s">
        <v>65</v>
      </c>
      <c r="B79" s="1">
        <v>10</v>
      </c>
      <c r="C79" s="1">
        <f>B79*0.6</f>
        <v>6</v>
      </c>
    </row>
    <row r="80" spans="1:3" ht="12.75" hidden="1">
      <c r="A80" s="61" t="s">
        <v>66</v>
      </c>
      <c r="B80" s="1">
        <v>18</v>
      </c>
      <c r="C80" s="1">
        <f>(B79+B80)*0.6</f>
        <v>16.8</v>
      </c>
    </row>
    <row r="81" spans="1:3" ht="12.75" hidden="1">
      <c r="A81" s="61" t="s">
        <v>67</v>
      </c>
      <c r="B81" s="1">
        <v>32</v>
      </c>
      <c r="C81" s="1">
        <f>(B79+B80+B81)*0.6</f>
        <v>36</v>
      </c>
    </row>
    <row r="82" spans="1:5" ht="12.75" hidden="1">
      <c r="A82" s="61" t="s">
        <v>68</v>
      </c>
      <c r="B82" s="1">
        <v>60</v>
      </c>
      <c r="C82" s="1">
        <f>(B79+B80+B81+B82)*0.6</f>
        <v>72</v>
      </c>
      <c r="D82">
        <f>SUM(IF(D78=0,C82,0),IF(D78=1,C81,0),IF(D78=2,C80,0),IF(D78=3,C79,0),IF(D78=4,C78,0))</f>
        <v>16.8</v>
      </c>
      <c r="E82" t="s">
        <v>70</v>
      </c>
    </row>
    <row r="83" ht="12.75" hidden="1">
      <c r="A83" s="61"/>
    </row>
  </sheetData>
  <sheetProtection password="94C4" sheet="1" objects="1"/>
  <mergeCells count="48">
    <mergeCell ref="A8:D8"/>
    <mergeCell ref="A12:D12"/>
    <mergeCell ref="A38:D38"/>
    <mergeCell ref="A10:D10"/>
    <mergeCell ref="A16:D16"/>
    <mergeCell ref="A9:D9"/>
    <mergeCell ref="A34:D34"/>
    <mergeCell ref="A32:D32"/>
    <mergeCell ref="A17:F17"/>
    <mergeCell ref="A33:F33"/>
    <mergeCell ref="H10:K10"/>
    <mergeCell ref="H11:K11"/>
    <mergeCell ref="H12:K12"/>
    <mergeCell ref="A30:D30"/>
    <mergeCell ref="A15:D15"/>
    <mergeCell ref="A19:F19"/>
    <mergeCell ref="H14:K14"/>
    <mergeCell ref="H15:K15"/>
    <mergeCell ref="A13:D13"/>
    <mergeCell ref="A14:D14"/>
    <mergeCell ref="A31:D31"/>
    <mergeCell ref="A24:D24"/>
    <mergeCell ref="A25:D25"/>
    <mergeCell ref="A26:D26"/>
    <mergeCell ref="H18:K18"/>
    <mergeCell ref="H20:K20"/>
    <mergeCell ref="H21:K21"/>
    <mergeCell ref="A22:D22"/>
    <mergeCell ref="A3:F3"/>
    <mergeCell ref="A28:D28"/>
    <mergeCell ref="A27:D27"/>
    <mergeCell ref="A18:D18"/>
    <mergeCell ref="A20:D20"/>
    <mergeCell ref="A21:D21"/>
    <mergeCell ref="A4:D4"/>
    <mergeCell ref="A6:D6"/>
    <mergeCell ref="A5:D5"/>
    <mergeCell ref="A7:D7"/>
    <mergeCell ref="H3:K3"/>
    <mergeCell ref="H16:K16"/>
    <mergeCell ref="H17:K17"/>
    <mergeCell ref="H19:K19"/>
    <mergeCell ref="H8:L8"/>
    <mergeCell ref="H5:L5"/>
    <mergeCell ref="H9:L9"/>
    <mergeCell ref="H13:K13"/>
    <mergeCell ref="H6:K6"/>
    <mergeCell ref="H7:K7"/>
  </mergeCells>
  <conditionalFormatting sqref="E6">
    <cfRule type="cellIs" priority="5" dxfId="0" operator="lessThan" stopIfTrue="1">
      <formula>$E$5</formula>
    </cfRule>
    <cfRule type="iconSet" priority="3" dxfId="0">
      <iconSet iconSet="3TrafficLights1">
        <cfvo type="percent" val="0"/>
        <cfvo type="num" val="Jersey!$E$5"/>
        <cfvo gte="0" type="num" val="Jersey!$E$5"/>
      </iconSet>
    </cfRule>
  </conditionalFormatting>
  <conditionalFormatting sqref="G5">
    <cfRule type="iconSet" priority="4" dxfId="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5">
    <cfRule type="iconSet" priority="1" dxfId="0">
      <iconSet iconSet="3TrafficLights1" reverse="1">
        <cfvo type="percent" val="0"/>
        <cfvo type="num" val="Jersey!$E$6"/>
        <cfvo gte="0" type="num" val="Jersey!$E$6"/>
      </iconSet>
    </cfRule>
    <cfRule type="iconSet" priority="2" dxfId="0">
      <iconSet iconSet="3TrafficLights1" reverse="1">
        <cfvo type="percent" val="0"/>
        <cfvo type="num" val="Jersey!$E$5"/>
        <cfvo gte="0" type="num" val="Jersey!$E$6"/>
      </iconSet>
    </cfRule>
  </conditionalFormatting>
  <dataValidations count="2">
    <dataValidation type="list" operator="lessThan" allowBlank="1" showErrorMessage="1" errorTitle="Ugyldig indgangsalder" error="Alder ved indgang skal være lavere end alder ved afgang" sqref="E5">
      <formula1>$A$45:$A$72</formula1>
    </dataValidation>
    <dataValidation type="list" allowBlank="1" showErrorMessage="1" errorTitle="Ugyldig afgangsalder" error="Alder ved afgang skal være højere end alder ved indgang" sqref="E6">
      <formula1>$A$45:$A$72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Landbrugsrådgivning, Landscentret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Regnearket til beregning af prisen pr. foderdag på kviehotel</dc:title>
  <dc:subject/>
  <dc:creator>Jesper Overgård Lehmann</dc:creator>
  <cp:keywords/>
  <dc:description/>
  <cp:lastModifiedBy>Bjarne Hansen</cp:lastModifiedBy>
  <cp:lastPrinted>2008-04-24T10:17:03Z</cp:lastPrinted>
  <dcterms:created xsi:type="dcterms:W3CDTF">2008-03-14T13:05:42Z</dcterms:created>
  <dcterms:modified xsi:type="dcterms:W3CDTF">2015-11-17T12:04:30Z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PageContent">
    <vt:lpwstr/>
  </property>
  <property fmtid="{D5CDD505-2E9C-101B-9397-08002B2CF9AE}" pid="3" name="Revisionsdato">
    <vt:lpwstr>2009-12-23T09:57:00Z</vt:lpwstr>
  </property>
  <property fmtid="{D5CDD505-2E9C-101B-9397-08002B2CF9AE}" pid="4" name="HideInRollups">
    <vt:lpwstr>0</vt:lpwstr>
  </property>
  <property fmtid="{D5CDD505-2E9C-101B-9397-08002B2CF9AE}" pid="5" name="Projekter">
    <vt:lpwstr/>
  </property>
  <property fmtid="{D5CDD505-2E9C-101B-9397-08002B2CF9AE}" pid="6" name="Ansvarligafdeling">
    <vt:lpwstr>0</vt:lpwstr>
  </property>
  <property fmtid="{D5CDD505-2E9C-101B-9397-08002B2CF9AE}" pid="7" name="Informationsserie">
    <vt:lpwstr/>
  </property>
  <property fmtid="{D5CDD505-2E9C-101B-9397-08002B2CF9AE}" pid="8" name="PublishingRollupImage">
    <vt:lpwstr/>
  </property>
  <property fmtid="{D5CDD505-2E9C-101B-9397-08002B2CF9AE}" pid="9" name="Noegleord">
    <vt:lpwstr/>
  </property>
  <property fmtid="{D5CDD505-2E9C-101B-9397-08002B2CF9AE}" pid="10" name="Audience">
    <vt:lpwstr/>
  </property>
  <property fmtid="{D5CDD505-2E9C-101B-9397-08002B2CF9AE}" pid="11" name="ArticleStartDate">
    <vt:lpwstr>2009-12-23T09:59:02Z</vt:lpwstr>
  </property>
  <property fmtid="{D5CDD505-2E9C-101B-9397-08002B2CF9AE}" pid="12" name="ArticleByLine">
    <vt:lpwstr/>
  </property>
  <property fmtid="{D5CDD505-2E9C-101B-9397-08002B2CF9AE}" pid="13" name="Bekraeftelsesdato">
    <vt:lpwstr>2011-01-04T09:38:42Z</vt:lpwstr>
  </property>
  <property fmtid="{D5CDD505-2E9C-101B-9397-08002B2CF9AE}" pid="14" name="PublishingImageCaption">
    <vt:lpwstr/>
  </property>
  <property fmtid="{D5CDD505-2E9C-101B-9397-08002B2CF9AE}" pid="15" name="NetSkabelonValue">
    <vt:lpwstr/>
  </property>
  <property fmtid="{D5CDD505-2E9C-101B-9397-08002B2CF9AE}" pid="16" name="PublishingContactEmail">
    <vt:lpwstr/>
  </property>
  <property fmtid="{D5CDD505-2E9C-101B-9397-08002B2CF9AE}" pid="17" name="Arkiveringsdato">
    <vt:lpwstr>2013-12-23T00:00:00Z</vt:lpwstr>
  </property>
  <property fmtid="{D5CDD505-2E9C-101B-9397-08002B2CF9AE}" pid="18" name="GammelURL">
    <vt:lpwstr/>
  </property>
  <property fmtid="{D5CDD505-2E9C-101B-9397-08002B2CF9AE}" pid="19" name="Comments">
    <vt:lpwstr>Regneark til KvægInfo nr. 2065</vt:lpwstr>
  </property>
  <property fmtid="{D5CDD505-2E9C-101B-9397-08002B2CF9AE}" pid="20" name="Listekode">
    <vt:lpwstr/>
  </property>
  <property fmtid="{D5CDD505-2E9C-101B-9397-08002B2CF9AE}" pid="21" name="Nummer">
    <vt:lpwstr/>
  </property>
  <property fmtid="{D5CDD505-2E9C-101B-9397-08002B2CF9AE}" pid="22" name="Afsender">
    <vt:lpwstr>2</vt:lpwstr>
  </property>
  <property fmtid="{D5CDD505-2E9C-101B-9397-08002B2CF9AE}" pid="23" name="EnclosureFor">
    <vt:lpwstr/>
  </property>
  <property fmtid="{D5CDD505-2E9C-101B-9397-08002B2CF9AE}" pid="24" name="PublishingPageImage">
    <vt:lpwstr/>
  </property>
  <property fmtid="{D5CDD505-2E9C-101B-9397-08002B2CF9AE}" pid="25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6" name="Forfattere">
    <vt:lpwstr/>
  </property>
  <property fmtid="{D5CDD505-2E9C-101B-9397-08002B2CF9AE}" pid="27" name="Afgiftsfonde">
    <vt:lpwstr/>
  </property>
  <property fmtid="{D5CDD505-2E9C-101B-9397-08002B2CF9AE}" pid="28" name="PublishingContactPicture">
    <vt:lpwstr/>
  </property>
  <property fmtid="{D5CDD505-2E9C-101B-9397-08002B2CF9AE}" pid="29" name="Ingen besked ved arkivering">
    <vt:lpwstr>0</vt:lpwstr>
  </property>
  <property fmtid="{D5CDD505-2E9C-101B-9397-08002B2CF9AE}" pid="30" name="ContentType">
    <vt:lpwstr>Landbrugsinfo Binær Fil</vt:lpwstr>
  </property>
  <property fmtid="{D5CDD505-2E9C-101B-9397-08002B2CF9AE}" pid="31" name="PublishingContactName">
    <vt:lpwstr/>
  </property>
  <property fmtid="{D5CDD505-2E9C-101B-9397-08002B2CF9AE}" pid="32" name="Rettighedsgruppe">
    <vt:lpwstr>1</vt:lpwstr>
  </property>
  <property fmtid="{D5CDD505-2E9C-101B-9397-08002B2CF9AE}" pid="33" name="AllowComments">
    <vt:lpwstr>1</vt:lpwstr>
  </property>
  <property fmtid="{D5CDD505-2E9C-101B-9397-08002B2CF9AE}" pid="34" name="PermalinkID">
    <vt:lpwstr/>
  </property>
  <property fmtid="{D5CDD505-2E9C-101B-9397-08002B2CF9AE}" pid="35" name="DynamicPublishingContent5">
    <vt:lpwstr/>
  </property>
  <property fmtid="{D5CDD505-2E9C-101B-9397-08002B2CF9AE}" pid="36" name="HeaderStyleDefinitions">
    <vt:lpwstr/>
  </property>
  <property fmtid="{D5CDD505-2E9C-101B-9397-08002B2CF9AE}" pid="37" name="DynamicPublishingContent4">
    <vt:lpwstr/>
  </property>
  <property fmtid="{D5CDD505-2E9C-101B-9397-08002B2CF9AE}" pid="38" name="PublishingVariationRelationshipLinkFieldID">
    <vt:lpwstr/>
  </property>
  <property fmtid="{D5CDD505-2E9C-101B-9397-08002B2CF9AE}" pid="39" name="DynamicPublishingContent1">
    <vt:lpwstr/>
  </property>
  <property fmtid="{D5CDD505-2E9C-101B-9397-08002B2CF9AE}" pid="40" name="PublishingVariationGroupID">
    <vt:lpwstr/>
  </property>
  <property fmtid="{D5CDD505-2E9C-101B-9397-08002B2CF9AE}" pid="41" name="DynamicPublishingContent0">
    <vt:lpwstr/>
  </property>
  <property fmtid="{D5CDD505-2E9C-101B-9397-08002B2CF9AE}" pid="42" name="WebInfoSubjects">
    <vt:lpwstr/>
  </property>
  <property fmtid="{D5CDD505-2E9C-101B-9397-08002B2CF9AE}" pid="43" name="DynamicPublishingContent3">
    <vt:lpwstr/>
  </property>
  <property fmtid="{D5CDD505-2E9C-101B-9397-08002B2CF9AE}" pid="44" name="Sorteringsorden">
    <vt:lpwstr/>
  </property>
  <property fmtid="{D5CDD505-2E9C-101B-9397-08002B2CF9AE}" pid="45" name="DynamicPublishingContent2">
    <vt:lpwstr/>
  </property>
  <property fmtid="{D5CDD505-2E9C-101B-9397-08002B2CF9AE}" pid="46" name="IsHiddenFromRollup">
    <vt:lpwstr>0</vt:lpwstr>
  </property>
  <property fmtid="{D5CDD505-2E9C-101B-9397-08002B2CF9AE}" pid="47" name="PublishingExpirationDate">
    <vt:lpwstr/>
  </property>
  <property fmtid="{D5CDD505-2E9C-101B-9397-08002B2CF9AE}" pid="48" name="PublishingStartDate">
    <vt:lpwstr/>
  </property>
  <property fmtid="{D5CDD505-2E9C-101B-9397-08002B2CF9AE}" pid="49" name="HitCount">
    <vt:lpwstr>0</vt:lpwstr>
  </property>
  <property fmtid="{D5CDD505-2E9C-101B-9397-08002B2CF9AE}" pid="50" name="PublishingContact">
    <vt:lpwstr/>
  </property>
  <property fmtid="{D5CDD505-2E9C-101B-9397-08002B2CF9AE}" pid="51" name="Sprogvalg">
    <vt:lpwstr/>
  </property>
  <property fmtid="{D5CDD505-2E9C-101B-9397-08002B2CF9AE}" pid="52" name="DisplayComments">
    <vt:lpwstr>1</vt:lpwstr>
  </property>
</Properties>
</file>